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510" windowHeight="4080" tabRatio="787" activeTab="0"/>
  </bookViews>
  <sheets>
    <sheet name="Ingreso de datos" sheetId="1" r:id="rId1"/>
    <sheet name="Informe" sheetId="2" r:id="rId2"/>
    <sheet name="Recursos limitantes" sheetId="3" r:id="rId3"/>
    <sheet name="Numérico" sheetId="4" r:id="rId4"/>
    <sheet name="Graficos de n" sheetId="5" r:id="rId5"/>
    <sheet name="Gráficos" sheetId="6" r:id="rId6"/>
  </sheets>
  <externalReferences>
    <externalReference r:id="rId9"/>
  </externalReferences>
  <definedNames/>
  <calcPr fullCalcOnLoad="1"/>
</workbook>
</file>

<file path=xl/comments1.xml><?xml version="1.0" encoding="utf-8"?>
<comments xmlns="http://schemas.openxmlformats.org/spreadsheetml/2006/main">
  <authors>
    <author>?</author>
  </authors>
  <commentList>
    <comment ref="A36" authorId="0">
      <text>
        <r>
          <rPr>
            <b/>
            <sz val="8"/>
            <rFont val="Tahoma"/>
            <family val="0"/>
          </rPr>
          <t>ç:</t>
        </r>
        <r>
          <rPr>
            <sz val="8"/>
            <rFont val="Tahoma"/>
            <family val="0"/>
          </rPr>
          <t xml:space="preserve">
Se enmtiende como libre comunicación, sin la necesidad de salir de
la institución </t>
        </r>
      </text>
    </comment>
    <comment ref="A97" authorId="0">
      <text>
        <r>
          <rPr>
            <b/>
            <sz val="8"/>
            <rFont val="Tahoma"/>
            <family val="0"/>
          </rPr>
          <t>ç:</t>
        </r>
        <r>
          <rPr>
            <sz val="8"/>
            <rFont val="Tahoma"/>
            <family val="0"/>
          </rPr>
          <t xml:space="preserve">
Vía unidireccional del drenaje hídrico</t>
        </r>
      </text>
    </comment>
    <comment ref="A202" authorId="0">
      <text>
        <r>
          <rPr>
            <b/>
            <sz val="8"/>
            <rFont val="Tahoma"/>
            <family val="0"/>
          </rPr>
          <t>ç:</t>
        </r>
        <r>
          <rPr>
            <sz val="8"/>
            <rFont val="Tahoma"/>
            <family val="0"/>
          </rPr>
          <t xml:space="preserve">
CPAP</t>
        </r>
      </text>
    </comment>
    <comment ref="A205" authorId="0">
      <text>
        <r>
          <rPr>
            <b/>
            <sz val="8"/>
            <rFont val="Tahoma"/>
            <family val="0"/>
          </rPr>
          <t>ç:</t>
        </r>
        <r>
          <rPr>
            <sz val="8"/>
            <rFont val="Tahoma"/>
            <family val="0"/>
          </rPr>
          <t xml:space="preserve">
Medidor de Fracción de Oxígeno entregada (por ejemplo en halos de O2)</t>
        </r>
      </text>
    </comment>
    <comment ref="A181" authorId="0">
      <text>
        <r>
          <rPr>
            <b/>
            <sz val="8"/>
            <rFont val="Tahoma"/>
            <family val="0"/>
          </rPr>
          <t>ç:</t>
        </r>
        <r>
          <rPr>
            <sz val="8"/>
            <rFont val="Tahoma"/>
            <family val="0"/>
          </rPr>
          <t xml:space="preserve">
PtcCO2, utilizado usualmente para asegurar hipercapnia permisiva</t>
        </r>
      </text>
    </comment>
  </commentList>
</comments>
</file>

<file path=xl/comments4.xml><?xml version="1.0" encoding="utf-8"?>
<comments xmlns="http://schemas.openxmlformats.org/spreadsheetml/2006/main">
  <authors>
    <author>Diego</author>
  </authors>
  <commentList>
    <comment ref="A46" authorId="0">
      <text>
        <r>
          <rPr>
            <sz val="8"/>
            <rFont val="Tahoma"/>
            <family val="0"/>
          </rPr>
          <t xml:space="preserve">Excluyendo &lt;500 gr y malformaciones letales
</t>
        </r>
      </text>
    </comment>
    <comment ref="A48" authorId="0">
      <text>
        <r>
          <rPr>
            <b/>
            <sz val="8"/>
            <rFont val="Tahoma"/>
            <family val="0"/>
          </rPr>
          <t>&lt; 7 días</t>
        </r>
      </text>
    </comment>
  </commentList>
</comments>
</file>

<file path=xl/sharedStrings.xml><?xml version="1.0" encoding="utf-8"?>
<sst xmlns="http://schemas.openxmlformats.org/spreadsheetml/2006/main" count="831" uniqueCount="456">
  <si>
    <t>185. El laboratorio puede efectuar e informar dentro de las 3 hs. uremia, recuento de blancos, orina, LCR, Bilirrubina, etc.</t>
  </si>
  <si>
    <t>186. El laboratorio efectua toma de muestras y  procesado de Bacteriología.</t>
  </si>
  <si>
    <t>187. Se efectua periódicamente control de calidad de diferentes determinaciones</t>
  </si>
  <si>
    <t>188. Se efectuan reuniones entre Laboratorio y Neonatología en forma periódica.</t>
  </si>
  <si>
    <t>Recursos limitantes: Todos los items son relevantes en Centros Perinatológicos terciarios o de alta complejidad.</t>
  </si>
  <si>
    <t>B. Diagnóstico por Imágenes</t>
  </si>
  <si>
    <t>189. El Servicio esta a cargo de un Médico  especialista en Diagnóstico por Imágenes que cumpla no menos de 30 hs. semanales.</t>
  </si>
  <si>
    <t>190. Dicho profesional tiene experiencia en Diagnóstico por Imágenes en  Pediátria y Neonatología.</t>
  </si>
  <si>
    <t>191. Dicho Servicio realiza estudios Ecográficos y/o Radiológicos por lo menos 6 hs. por día con supervisión profesional</t>
  </si>
  <si>
    <t>192. Cuenta con un técnico de guardia activa las 24 hs.</t>
  </si>
  <si>
    <t>193. Esta asignado a la Unidad de Cuidados Intensivos un aparato portátil de Rx de alta velocidad</t>
  </si>
  <si>
    <t>194. Todas las Rx se realizan con adecuada protección genital</t>
  </si>
  <si>
    <t>195. Existen controles de radiación absorbida por personal de Neonatología</t>
  </si>
  <si>
    <t>196. Existen por lo menos 2 delantales de plomo para protección del personal.</t>
  </si>
  <si>
    <t>197. Se puede realizar Ecocardiografía Modo M bidimensional, Doppler con Transductores 5 y 7,5 MHHz</t>
  </si>
  <si>
    <t>198. Se puede realizar Ecografía cerebral</t>
  </si>
  <si>
    <t>199. Se puede realizar  (o derivar para) Ecografía Doppler color, Tomografía Computada, Resonancia Magnética, Centellografía, etc.</t>
  </si>
  <si>
    <t>200. El Servicio de Diagnóstico por Imágenes participa de Ateneos Conjuntos y/o reuniones organizativas con el Servicio de Neonatología.</t>
  </si>
  <si>
    <t>C. Hemoterapia</t>
  </si>
  <si>
    <t>201. El Servicio esta a cargo de un Médico Hematólogo</t>
  </si>
  <si>
    <t>202. Dicho profesional tiene experiencia en RN</t>
  </si>
  <si>
    <t>203. Existe técnico de Guardia activa las 24 hs.</t>
  </si>
  <si>
    <t>204. El Servicio efectúa de rutina a todas las muestras de dadores estudios sobre Chagas, lues, Hepatitis, HIV, CMV, etc.</t>
  </si>
  <si>
    <t>205. Existe un registro de dadores entre el personal de la Institución, Obra Social,  la comunidad, etc.</t>
  </si>
  <si>
    <t>206. Existe un Banco de Sangre como para mantener la necesidad mínima de requerimientos por 48 hs., o conexión con proveedores de sangre que puedan asegurarla.</t>
  </si>
  <si>
    <t>207. Existe un Programa de Donantes para Prematuros</t>
  </si>
  <si>
    <t>Subtotal:</t>
  </si>
  <si>
    <t xml:space="preserve">Total Capítulo III: Recursos Humanos: </t>
  </si>
  <si>
    <t>Capítulo 1: Planta física</t>
  </si>
  <si>
    <t>Total Capítulo IV: Servicios Complementarios:</t>
  </si>
  <si>
    <t>Subtotal de Requisitos comunes a las tres Zonas:</t>
  </si>
  <si>
    <t>Total Capítulo V:Funcionamiento y Organización del Servicio</t>
  </si>
  <si>
    <t>TOTAL DE  LA GUIA:</t>
  </si>
  <si>
    <t>FUN</t>
  </si>
  <si>
    <t>208. El Servico de Hemoterapia participa en Ateneos conjuntos con el Servicio de Neonatología</t>
  </si>
  <si>
    <t>Capítulo V: Funcionamiento y Organización del Servicio</t>
  </si>
  <si>
    <t>Requisitos comunes a las 3 Zonas</t>
  </si>
  <si>
    <t>1. Normatizaciones</t>
  </si>
  <si>
    <t>209. Las Normas  del Servicio son elaboradas con la participación completa del equipo de salud, con énfasis en Medicina Basada en la Evidencia y con la aplicación de Tecnologías Apropiadas, compatibilizadas con las Normas Nacionales y sus resultados evaluados en forma periódica.</t>
  </si>
  <si>
    <t>210. Existen Normas escritas de control de la Infección Intrahospitalaria y Bioseguridad que se cumplen sistemáticamente y son supervisadas y evaluadas en forma periódica.</t>
  </si>
  <si>
    <t>211. Los técnicos de mantenimiento, laboratorio, Rayos, Hemoterapia y el resto de los integrantes del Equipo de Salud cumplen estas Normas.</t>
  </si>
  <si>
    <t>212. Existen una Política escrita  sobre Lactancia Materna que se ajusta a los 10 pasos de la Iniciativa Hospital Amigo de la Madre y el Niño.</t>
  </si>
  <si>
    <t>213. Existen Normas de Seguridad tendientes a evitar el robo  o cambio de niños, manteniendo la integridad del binomio Madre-hijo.</t>
  </si>
  <si>
    <t>214. Existen Normas para pedidos y procesados de Laboratorio y radiología de urgencia (menos de una hora) que se cumplen en el 100% de los casos.</t>
  </si>
  <si>
    <t>215. Existen Normas para Extracciones de Laboratorio, Tomas de muestras para Bacteriología, Estudios necrópsicos</t>
  </si>
  <si>
    <t>216. Existen Normas para solicitud y procesado de Grupo, Rh y Coombs, se  obtiene sangre para transfusiones dentro de 60 minutos de solicitada.</t>
  </si>
  <si>
    <t>217. Existen Normas para la adecuada preparación de materiales, contenido y presentaci{on de paquetes, bandejas, cajas, con entrega y reposición simultánea de material.</t>
  </si>
  <si>
    <t>si</t>
  </si>
  <si>
    <t>no</t>
  </si>
  <si>
    <t>218. Existen Normas de funcionamiento de la Unidad frente a desastres y/o catástrofes: incendio, terremoto, inundaciones,etc. y el personal ha sido entrenado al respecto</t>
  </si>
  <si>
    <t xml:space="preserve">219. El Servicio cuenta con Normas provenientes de adecuado asesoramiento jurídico y de Auditoría Interna, con control de costos y gastos de compras. </t>
  </si>
  <si>
    <t>220. Todas las Normas se encuentran por escrito y en lugar accesible a todo el personal del Equipo de Salud a toda hora.</t>
  </si>
  <si>
    <t>2. Organización de la Asistencia</t>
  </si>
  <si>
    <t>221. El Servicio de Neonatología depende del Departamento Materno Infantil o Perinatológico</t>
  </si>
  <si>
    <t>222. Se dispone de posibilidad de interconsulta y/ o se cuenta con las siguientes especialidades: Cardiología, Infectología, Genética, Neurología, Cirugía Infantil, Anestesiología.</t>
  </si>
  <si>
    <t>223. Las decisiones sobre las embarazadas de alto riesgo se  toman en forma conjunta entre obstetras y neonatólogos</t>
  </si>
  <si>
    <t>224. Las madres reciben durante su estadía hospitalaria educación para la salud y tanto ellas como sus hijos tienen altas dirigidas y orientadas.</t>
  </si>
  <si>
    <t>225. Se cuenta con un sistema informático (SIP-CLAP, Agustina, EpiInfo, etc.) en el que se vuelcan los datos de los pacientes asistidos y sus resultados se publican anualmente</t>
  </si>
  <si>
    <t>226. Se efectúa evaluación periódica de los registros informáticos (y otros) de:</t>
  </si>
  <si>
    <t>. factores de riego perinatal</t>
  </si>
  <si>
    <t>. estadísticas de morbimortalidad, según intervalos de peso y diferentes patologías</t>
  </si>
  <si>
    <t>. Satisfacción del usuario</t>
  </si>
  <si>
    <t>. Lactancia Materna</t>
  </si>
  <si>
    <t>Informe de la guía de evaluación de servicios de Neonatololgía</t>
  </si>
  <si>
    <t>149. Hay un médico asistente que cumple no menos de 24 hs. por semana, por cada 4 plazas de Cuidados Intensivos e Intermedios</t>
  </si>
  <si>
    <t>150. Se destina una hora médica diaria como mínimo por cada 4 RN normales (IC)</t>
  </si>
  <si>
    <t>151. Se destina una hora médica diaria por cada 2 RN de Crecimiento de Prematuros.</t>
  </si>
  <si>
    <t>152. Se destina una hora  médica diaria por cada  3 RN de Cuidados transicionales o bajo riesgo</t>
  </si>
  <si>
    <t>158. Se adminten pasantías de 3 a 6 meses de duración de jornada completa</t>
  </si>
  <si>
    <t>227. Al egreso todo RN tiene su carnet de alta con los datos principales y los RN patológicos además resumen de Historia Clínica que se entrega a sus padres.</t>
  </si>
  <si>
    <t>228. Esta coordinado el seguimiento al alta por Consultorios de la Institución  y/u otras alternativas.</t>
  </si>
  <si>
    <t>229. Esta organizada la asistencia por Consultorios Externos, existiendo programas especiales de seguimiento para : prematuros menores de 1.500 gr., RN Alto riesgo, Retinopatía del prematuro, investigación auditiva, Anoxia perinatal, desarrollo psicomotor, estimulación oportuna, desertores,  y/u otros</t>
  </si>
  <si>
    <t>230. La atención recibida por el RN y su familia es evaluada por los usuarios por medio de encuestas u otros sistemas de control (Satisfacción del usuario)</t>
  </si>
  <si>
    <t>3. Historia Clínica</t>
  </si>
  <si>
    <t>231. Todos los pacientes , sanos o patológicos, tienen historia clínica que es actualizada por   lo menos diariamente, constando fecha, hora y firma aclarada. Al alta constan todos los diagnósticos y se efectúa una  epicrisis y/o resumen estadístico perinatal</t>
  </si>
  <si>
    <t>232. En la Historia Clínica se consignan, archivan y comentan los resultados de interconsultas, examenens complementarios, partes quirúrgicos, hojas de controles de enfermería y de evaluación médica , de procedimientos, visitas de padres, etc..</t>
  </si>
  <si>
    <r>
      <t>Autores:</t>
    </r>
    <r>
      <rPr>
        <i/>
        <sz val="10"/>
        <rFont val="Arial"/>
        <family val="2"/>
      </rPr>
      <t xml:space="preserve"> Dres. Miguel Larguía, Luis Prudent, </t>
    </r>
  </si>
  <si>
    <t>233. Las órdenes que ejecutan las enfermeras sólo se imparten por escrito, están consignadas en la Historia Clínica (hoja de indicaciones) , sólo las imparten los médicos y se firman al cumplirlas.</t>
  </si>
  <si>
    <t>234. Se efectua Auditoría de Historias Clínicas al azar y en forma periódica.</t>
  </si>
  <si>
    <t>235. Las Historias Clínicas de los RN nomales son archivadas por 10 años y  las de los RN patológicos por 15 años con un método de almacenamiento que permite su fácil consulta.</t>
  </si>
  <si>
    <t>236. La Historia Clínica de los RN Patológicos y eventualmente RN sanos,  tiene una sección que permite evaluar alto riesgo psicosocial</t>
  </si>
  <si>
    <t>4 Comités de Docencia e Investigación y otros .</t>
  </si>
  <si>
    <t>237. Existe un Comité de Docencia e Investigación en la Institución que incluye las actividades del área Perinatal en su programación.</t>
  </si>
  <si>
    <t>1. El Centro Obstétrico esta diseñado con la modalidad de Salas TPR Salas únicas de Trabajo de Parto, Parto y Recuperación.</t>
  </si>
  <si>
    <t xml:space="preserve">Para la asistencia de recién nacidos (RN) de baja complejidad que no requieren incubadoras, accesos endovasculares, monitores invasivos o medicación endovenosa. </t>
  </si>
  <si>
    <t>Incluye aquellos RN de Término con indicación de Luminoterapia por Hiperbilirrubinemia y a hijos de madres con patología que contraindica la Internación Conjunta. Debe estar organizada para permitir la activa participación de los padres.</t>
  </si>
  <si>
    <t xml:space="preserve">Para la asistencia de RN Premturos que superadas las etapas de cuidados intensivos y/o intermedios se encuentran en condiciones de recuperación nutricional hasta alcanzar  los requisitos para el alta de la Institución. Pueden encontrarse en cuna o incubadora con monitoreo. </t>
  </si>
  <si>
    <t>Incluye además a RN patológicos que deben completar estudios y/o tratamientos y a RN con altas diferidas por causas sociales, legales, etc. Puede estar organizado con sistema de “Canales” para agruparlos según peso de nacimiento ,etc.</t>
  </si>
  <si>
    <t xml:space="preserve">Para la asistencia de RN Prematuros y patológicos que requieren algún tipo de Monitoreo, Accesos Endovasculares (AEV), medicación antibiótica, drogas vasoactivas, control de presión arterial, saturometría, etc. </t>
  </si>
  <si>
    <t>Incluye además RN que salen de Terapia Intensiva por descomplejización de su asistencia o que son derivados de Crecimiento de Prematuros por patologías adquiridas: apneas, etc.</t>
  </si>
  <si>
    <t xml:space="preserve">Para la asistencia de RN Prematuros y patológicos con exigencias de alta complejidad, capaz de ofrecer </t>
  </si>
  <si>
    <t>Asistencia Respiratoria Mecánica (ARM), canalización de vasos umbilicales, colocación de líneas centrales, monitoreos invasivos, etc.</t>
  </si>
  <si>
    <t xml:space="preserve">  Subtotal</t>
  </si>
  <si>
    <t>. Resultados de  técnicas y procedimientos</t>
  </si>
  <si>
    <t>. Infección Intrahospitalaria</t>
  </si>
  <si>
    <t>.  Uso racional de insumos y materiales</t>
  </si>
  <si>
    <t>Subtotal</t>
  </si>
  <si>
    <t>Total del Capítulo I Planta Física</t>
  </si>
  <si>
    <t xml:space="preserve"> Subtotal</t>
  </si>
  <si>
    <t>Total Capítulo II Equipamiento e Instrumental:</t>
  </si>
  <si>
    <t>238. Estan programadas anualmente las actividades de educación contínua para todo el equipo de salud (médicos, enfermeras, etc,)</t>
  </si>
  <si>
    <t>239. Estas actividades de capacitación reiteran anualmente o semestralemente capacitación en temas básicos como : Reanimación del RN, Lactancia Materna, Medidas de Bioseguridad, etc. de manera que TODO el personal las reciba.</t>
  </si>
  <si>
    <t>240. Se efectúan reuniones clínicas conjuntas entre Obstetricia y Neonatología</t>
  </si>
  <si>
    <t>241. Está programada la rotación de Residentes de Pediatría/Neonatología en Obstetricia y viceversa</t>
  </si>
  <si>
    <t>242. Los proyectos de Investigación del Servicio son evaluados y autorizados por el Comité de Docencia e Investigación, estan integrados a las actividades del Servicio y supervisados por la Jefatura.</t>
  </si>
  <si>
    <t>243. Participa el Servicio en investigaciones colaborativas y/o interdisciplinarias</t>
  </si>
  <si>
    <t>244. La mayoría de las investigaciones estan destinadas a mejorar la problemática asistencial</t>
  </si>
  <si>
    <t>Celia Lomuto,  Enrique Colombo, Diego Enríquez</t>
  </si>
  <si>
    <t>245. Existe un Comité de Etica en la Institución y hay un representante del área Perinatal en él.El Comité asesora sobre modelo de Consentimiento informado, problemas éticos sobre conductas a tomar con los pacientes, etc.</t>
  </si>
  <si>
    <t>246. Hay un Comité de Infecciones en la Institución integrado por algún representante del área Perinatal. Asesora sobre control de Infecciones Intrahospitalarias, medidas de Bioseguridad, uso racional de antibióticos, etc.</t>
  </si>
  <si>
    <t>A. Zonas de atención de RN en Sala de Parto e Internación Conjunta</t>
  </si>
  <si>
    <t>247. Existen Normas escritas de atención del RN normal en Sala de Partos que se cumplen en el 100% de los casos.</t>
  </si>
  <si>
    <t>248. Existen Normas de atención de los RN patológicos en Sala de Partos</t>
  </si>
  <si>
    <t>249. Inmediatamente al nacimiento, se permite el contacto precoz  madre hijo, piel a piel para favorecer el vínculo madre-hijo</t>
  </si>
  <si>
    <t>250. Se fomenta el ingreso de los padres o familiar a la Sala de dilatantes, Sala de Partos o Salas TPR</t>
  </si>
  <si>
    <t>251. Se llevan registros  de  RN deprimidos, malformados, etc.  según peso, EG, y su morbilidad ,efectuándose periódicamente auditoría de los resultados.</t>
  </si>
  <si>
    <t>252. Se utilizan simuladores en la práctica de la reanimación del RN (muñecos)</t>
  </si>
  <si>
    <t>253. Existen Normas escritas sobre el RN sano donde se enfatiza la Lactancia materna siguiendo los 10 pasos de la Iniciativa Hospital Amigo de la Madre y el Niño(OMS-UNICEF)</t>
  </si>
  <si>
    <t>254. El RN sano permanece la mayor parte del tiempo en la habitación con su madre y no es separado innecesariamente para procedimientos, período nocturno, etc. Se recomienda la posición boca arriba o de costado para dormir al RN.</t>
  </si>
  <si>
    <t>255. Existen planes de estimulación oportuna y para favorecer el vínculo madre-hijo</t>
  </si>
  <si>
    <t>256. Las enfermeras reciben entrenamiento especial en lactancia materna y signos de alarma</t>
  </si>
  <si>
    <t>257. El Servicio cuenta con puericultoras para lactancia</t>
  </si>
  <si>
    <t>258. El Servicio cuenta con estadísticas de lactancia al egreso y a los 2,4 y 6 meses de edad.</t>
  </si>
  <si>
    <t>B. Zona de Cuidados Especiales Neonatales</t>
  </si>
  <si>
    <t>259. Existen Normas escritas  y registros  para criterios de derivación y contrareferencia, diagnóstico y tratamiento de las principales patologías y criterios de alta</t>
  </si>
  <si>
    <t>260. Se realizan examenes bacteriológicos a los infectados y/o sospechosos de infeccion existiendo registro de sensibilidad microbiana a antibióticos y su uso.</t>
  </si>
  <si>
    <t>261. Se cumplen los programas de Control de Infecciones Intrahospitalarias y se lleva registro de las mismas (contínuos, transversales, etc)</t>
  </si>
  <si>
    <t xml:space="preserve">262. El Jefe del Servicio hace no menos de un Pase de Sala diario </t>
  </si>
  <si>
    <t>263. Los médicos de planta del Servicio y de guardia hacen una revista de sala asistencial por  lo menos una vez por día.</t>
  </si>
  <si>
    <t>264. Los médicos de guardia efectúan pase de sala con enfermeras de los casos más importantes y/o graves una vez por turno.</t>
  </si>
  <si>
    <t>265. Los padres reciben información personalizada  adecuada diariamente por el Jefe  (Servicio, Unidad) o médicos de planta en un horario de informes.</t>
  </si>
  <si>
    <t>266. El horario de visita de los padres no tiene restricciones, favoreciéndose el contacto padres-hijos</t>
  </si>
  <si>
    <t>267. Los padres participan en reuniones periódicas con médicos y otros integrantes del equipo de salud.</t>
  </si>
  <si>
    <t>268. Hay algún registros de las mismas</t>
  </si>
  <si>
    <t>269. Se efectua el seguimiento de los padres luego del fallecimiento de los RN</t>
  </si>
  <si>
    <t>270. Los egresos de los RN de alto riesgo son palnificados, decididos y evaluados en forma conjunta por  médicos y enfermeras y además por asistentes sociales y psicólogos.</t>
  </si>
  <si>
    <t>271. Existe un protocolo de alta</t>
  </si>
  <si>
    <t>272. El Hospital realiza visitas domiciliarias de pre-alta o luego del alta al grupo de alto riesgo</t>
  </si>
  <si>
    <t>273. Esta organizada la prevención y conducta ante la deserción del RN de alto riesgo en Consultorio Externos.</t>
  </si>
  <si>
    <t>Los Servicios de Neonatología tienen tres grandes Zonas en su Planta Física</t>
  </si>
  <si>
    <t>A: Zona de atención del RN en Sala de Partos</t>
  </si>
  <si>
    <t>B: Zona de Internación Conjunta Madre-Hijo</t>
  </si>
  <si>
    <t>C: Zona de Cuidados Especiales o de Internación Neonatal.</t>
  </si>
  <si>
    <t xml:space="preserve"> Requisitos comunes a las tres Zonas:</t>
  </si>
  <si>
    <t>2.  La Sala de Partos, el Sector de Recepción-Reanimación para RN y la Internación Neonatal están en la misma planta y la comunicación entre ambas es horizontal</t>
  </si>
  <si>
    <t>3. Tienen comunicación directa, separadas de la circulación de otros sectores</t>
  </si>
  <si>
    <t>4. Los pisos y paredes, hasta 2,80 cm son lavables en las tres Zonas.</t>
  </si>
  <si>
    <t>5. Poseen depósito en el área para instrumental, medicamentos, etc..</t>
  </si>
  <si>
    <t>6. Las tres Zonas tienen suficiente luz natural</t>
  </si>
  <si>
    <t>7. Las tres Zonas pueden mantener permanentemente una temperatura ambiental de 25-26 ºC</t>
  </si>
  <si>
    <t>8. Las tres Zonas se hallan adecuadamente señalizadas</t>
  </si>
  <si>
    <t>9. Existe una salida de emergencia que permite la fácil evacuación de las tres Zonas</t>
  </si>
  <si>
    <t>10. Existe equipo antiincendio reglamentario en las tres Zonas.</t>
  </si>
  <si>
    <t>11. Existen comunicaciones electrónicas y/o telefónicas entre las diferentes Zonas, el resto del centro asistencial y el exterior.</t>
  </si>
  <si>
    <t>A. Zona de atención del RN en Sala de Partos (.)</t>
  </si>
  <si>
    <t>13. Existe en el área de Sala de Partos y/o Quirófanos un sector ubicado fuera de las mismas destinado exclusivamente a la recepción y Reanimación del RN con una superficie no inferior a 6 m2</t>
  </si>
  <si>
    <t>14. Existe un Sector de Reanimación por cada 3 Salas de Partos o Quirófano</t>
  </si>
  <si>
    <t>15. El acceso al Sector Reanimación se encuentra dentro del área de acceso restringido y esta contiguo a la Sala de Trabajo de Parto, Sala de Partos y Quirófano o Sala TPR</t>
  </si>
  <si>
    <t>16. El Sector esta provisto de agua caliente las 24 hs. y se puede bañar al RN si es necesario</t>
  </si>
  <si>
    <t>Guía de evaluación de servicios de Neonatología</t>
  </si>
  <si>
    <t>Informe de la guía de evaluación de servicios de Neonatología</t>
  </si>
  <si>
    <t>65. Posee 2 bocas de oxígeno, 1 de aire y 1 de aspiración por cada plaza de Cuidado Intensivo</t>
  </si>
  <si>
    <t xml:space="preserve">90. Puede suministrarse oxígeno calentado y humidificado </t>
  </si>
  <si>
    <t>17. Cuenta con mesa o Servocuna de reanimación acolchada lavable, para examen y tratamiento de 2 RN en forma simultánea, con sistema de calorificación que asegure 37ºC sobre la misma.</t>
  </si>
  <si>
    <r>
      <t>Autores:</t>
    </r>
    <r>
      <rPr>
        <i/>
        <sz val="10"/>
        <rFont val="Verdana"/>
        <family val="2"/>
      </rPr>
      <t xml:space="preserve"> Dres. Miguel Larguía, Luis Prudent, </t>
    </r>
  </si>
  <si>
    <r>
      <t>(.)</t>
    </r>
    <r>
      <rPr>
        <sz val="10"/>
        <rFont val="Verdana"/>
        <family val="2"/>
      </rPr>
      <t xml:space="preserve"> No evaluable en Servicios sin Maternidad</t>
    </r>
  </si>
  <si>
    <t>18. Cuenta con un mínimo de 2 bocas de oxígeno con flumiters/reductores, 1 de aspiración y 1 de aire comprimido</t>
  </si>
  <si>
    <t>19. Pueden realizarse en este Sector procedimientos complejos (drenaje de neumotórax, peritoneocentesis,  etc.)</t>
  </si>
  <si>
    <t>20. Posee instalación eléctrica adecuada (mínimo 6 enchufes)</t>
  </si>
  <si>
    <t>21. El sector se encuentra comunicado  con el Sector de Terapia Intensiva Neonatal.</t>
  </si>
  <si>
    <t>B. Zona de Internación Conjunta Madre-Hijo</t>
  </si>
  <si>
    <t>22. La internación conjunta se realiza en ambientes de 9 m2 como mínimo por cama con su cuna correspondiente</t>
  </si>
  <si>
    <t>23. La internación conjunta se realiza en Sectores en los que expresamente se intenta reproducir una ambientación hogareña</t>
  </si>
  <si>
    <t>24. El Sector tiene office exclusivo de enfermería</t>
  </si>
  <si>
    <t>25. Existe un lavabo por cada 4 RN</t>
  </si>
  <si>
    <t>26. Hay un recinto (aula) destinado a actividades relacionadas con educación para la salud</t>
  </si>
  <si>
    <t>27. Existe un sector para recepción de familiares</t>
  </si>
  <si>
    <t>B. Zona de Cuidados Especiales Neonatales  (Internación  Neonatológica)</t>
  </si>
  <si>
    <t>Constituye una Unidad Funcional que debe estar integrada por cuatro sectores de Internación diferenciada:</t>
  </si>
  <si>
    <t>1.- Cuidados Transicionales</t>
  </si>
  <si>
    <t>12. Cada una de las tres Zonas tiene comodidades para el lavado de manos</t>
  </si>
  <si>
    <t>2.- Crecimiento de Prematuros</t>
  </si>
  <si>
    <t>3.- Cuidados Intermedios</t>
  </si>
  <si>
    <t>4.- Cuidados Intensivos</t>
  </si>
  <si>
    <t>28. Los diferentes ambientes de la Zona de Internación constituyen una Unidad funcional aislada físicamente del resto y está dentro de un área de acceso restringido o semirrestringido controlado por Recepcionista</t>
  </si>
  <si>
    <t>29. Cuenta con antesala de recepción para padres y personal con 2 lavatorios, toalleros de papel, recipientes para residuos, percheros y armarios</t>
  </si>
  <si>
    <t>30. Exite Sala de Reunión para padres, abuelos y hermanos de los RN internados</t>
  </si>
  <si>
    <t>31. Los pasillos de circulación son amplios al igual que las puertas para permitir el paso de equipos de Ecografía, Radiología, etc.</t>
  </si>
  <si>
    <t>32. Todos los sectores cuentan con comodidades para la estadía de las madres con sillas suficientes</t>
  </si>
  <si>
    <t>33. Cuenta con estación de enfermería que se comunica con todos los ambientes y de 6 m2 como mínimo</t>
  </si>
  <si>
    <t>34. La superficie por paciente es de 2,8 m2 , como mínimo,y el de cada Sector  no es inferior     a 24 m2 (Ver Anexo)</t>
  </si>
  <si>
    <t>Dependencias del Sector</t>
  </si>
  <si>
    <t>35. Vestuario para el personal propio</t>
  </si>
  <si>
    <t>36. Sala de Trabajo para médicos</t>
  </si>
  <si>
    <t>37. Dormitorio de médicos internos en la misma planta</t>
  </si>
  <si>
    <t>38. Estación de lavado y preparación de materiales</t>
  </si>
  <si>
    <t>39. Cocina de leche con sector limpio y sucio con esterilización terminal o que utilice formulas estériles</t>
  </si>
  <si>
    <t>40. Lactario de leche humana con comodidad para la higiene de las madres y la extracción manual/ mecánica de su leche</t>
  </si>
  <si>
    <t>41. Especio reservado para conversar con los padres</t>
  </si>
  <si>
    <t xml:space="preserve">42. Area de preparación de soluciones parenterales </t>
  </si>
  <si>
    <t>43. Residencia para madres dadas de alta de la Maternidad (Ver Anexo)</t>
  </si>
  <si>
    <t>44. Lugar para interacción Madre-Hijo de RN de Alto Riesgo en prealta (Internación Conjunta)</t>
  </si>
  <si>
    <t>45. Sala de procedimientos</t>
  </si>
  <si>
    <t>46. Sala de observación/aislamiento para sospechosos de infección</t>
  </si>
  <si>
    <t>47. Aula para actividades docentes</t>
  </si>
  <si>
    <t>Instalación Sanitaria</t>
  </si>
  <si>
    <t>48. Todos los lavatorios tienen canillas que no requieren las manos para su cierre (codo, pie , rodilla o automáticos) y las piletas tienen profundidad suficiente para no salpicar y drenaje adecuado.</t>
  </si>
  <si>
    <t>49. Existen baños suficientes para el personal, padres y visitantes del Servicio.</t>
  </si>
  <si>
    <t xml:space="preserve">50. El sistema utilizado tiene la mayoría de elementos en conductos sanitarios (Caños no embutidos) y la provisión  de agua es potable. </t>
  </si>
  <si>
    <t>51. Las cámaras de inspección (piletas de patio) son herméticas</t>
  </si>
  <si>
    <t>52. La mayoría de los artefactos sanitarios (piletas) son colgantes para facilitar su limpieza.</t>
  </si>
  <si>
    <t>Instalación eléctrica</t>
  </si>
  <si>
    <t>53. Tiene Grupo electrógeno de capacidad suficiente para abastecer a todo el  área.</t>
  </si>
  <si>
    <t>54. Por  lo menos 12 enchufes con descarga a tierra en Cuidados Intensivos, 6 en Cuidados Intermedios por cada cuna-incubadora.</t>
  </si>
  <si>
    <t>55. Existen llaves térmicas por sectores.</t>
  </si>
  <si>
    <t>56. Disyuntores</t>
  </si>
  <si>
    <t>57. Circuitos alternativos</t>
  </si>
  <si>
    <t>58. Luces de emergencia de actuación automática (prenden al cortarse la electricidad)</t>
  </si>
  <si>
    <t>59. Luz de intensidad regulable</t>
  </si>
  <si>
    <t>Instalación de oxígeno, aire comprimido y aspiración</t>
  </si>
  <si>
    <t>Número total de ítems cumplidos         .                    (  / 273):</t>
  </si>
  <si>
    <t>Total</t>
  </si>
  <si>
    <t>60. Posee sistema de provisión de oxígeno, aire comprimido y aspiración centrales proporcional a las bocas de oxígeno existentes, con alarmas visoacústicas o de volumen.</t>
  </si>
  <si>
    <t>61. Posee tanque de oxígeno líquido y una batería con 4 tubos como mínimo para emergencias.</t>
  </si>
  <si>
    <t>62. Posee provisión de otros gases (óxido nítrico, etc.)</t>
  </si>
  <si>
    <t>63. Posee por lo menos 2 compresores a pistón seco con ciclo refrigerante, toma de aire exterior, drenaje de agua condensada y filtros bacterianos</t>
  </si>
  <si>
    <t>64. Posee bomba de vacío para aspiración.</t>
  </si>
  <si>
    <t>66. Posee 1 boca de oxígeno, 1 de aire y 1 de aspiración por cada 2 plazas de Cuidados Intermedios.</t>
  </si>
  <si>
    <t>67. Posee 1 boca de oxígeno, y 1 de aspiración por cada 3 plazas de los sectores de Crecimiento de Prematuros y Cuidados Transicionales</t>
  </si>
  <si>
    <t>Equipos antiincendio</t>
  </si>
  <si>
    <t>68. Posee matafuegos de diferentes clases (para instalaciones eléctricas y otras) en vigencia</t>
  </si>
  <si>
    <t xml:space="preserve">Salidas de emergencia </t>
  </si>
  <si>
    <t>69. La Unidad cuenta con salidas de emergencia adecuadamente señalizadas</t>
  </si>
  <si>
    <t>Sistemas de calorificación-refrigeración y comunicación</t>
  </si>
  <si>
    <t>70. Las ventanas son grandes, con vidrios especiales o dobles</t>
  </si>
  <si>
    <t>71. Cuenta con sistema de  ventilación y/o refrigeración-calefacción ,con aire filtrado ,que evita la recirculación de aire y con adecuado control de la temperatura (termostatos)</t>
  </si>
  <si>
    <t>72. La diferentes secciones de la Unidad se hallan comunicadas electrónicamente y/o telefónicamente entre sí , con el resto del establecimiento y con el exterior</t>
  </si>
  <si>
    <t>73. Existe control  periódico del ruido</t>
  </si>
  <si>
    <t>Nota: Todos los items se consideran relevantes.</t>
  </si>
  <si>
    <t>Capítulo 2: Equipamiento e Instrumental</t>
  </si>
  <si>
    <t>Requisitos comunes a las tres Zonas</t>
  </si>
  <si>
    <t>74. Cada equipo que se adquiere tiene un presupuesto anual del 20% de su costo para insumos, por 5 años, con garantías prolongadas y contratado un Service de mantenimiento preventivo y correctivo contínuo</t>
  </si>
  <si>
    <t>75. La compra de equipos se hace con el asesoramiento y participación del Jefe del Servicio y el /los expertos  reconocidos por él designados (Ver Anexo)</t>
  </si>
  <si>
    <t>76. Se prioriza la compra de líneas o marcas únicas para evitar la diversificación en el manejo, services, repuestos, etc.</t>
  </si>
  <si>
    <t>77. Se adquieren equipos a fabricantes  o representantes exclusivos con una antigüedad mínima en el país de 5 años, para garantizar la seriedad de la misma.</t>
  </si>
  <si>
    <t>78. Se consulta  a Centros Perinatólogicos importantes por su número de partos , desempeño y resultados, para la adquisición de equipos. Se dispone de fundamentos escritos.</t>
  </si>
  <si>
    <t>79. Se cuenta con envases de antiséptico de dosificación automática y toallas descartables para el lavado y secado de manos en las tres Zonas.</t>
  </si>
  <si>
    <t>80. Existen recipientes lavables con tapa, con bolsas de polietileno (tres colores) para el depósito de residuos y cualquier otro material desechable en las 3 Zonas</t>
  </si>
  <si>
    <t>81. Existen recipientes lavables con tapa para el depósito transitorio de ropa sucia</t>
  </si>
  <si>
    <t>A. Zona de Atención del RN en Sala de Partos</t>
  </si>
  <si>
    <t>82. Cuenta con balanza, pediómetro y cinta métrica inextensible</t>
  </si>
  <si>
    <t>83. Posee toallas y compresas estériles para la recepción del recién nacido y ropa quirúrgica (gorro, barbijo, antiparras y  guantes) para el  equipo que atiende al niño</t>
  </si>
  <si>
    <t>84. Cuenta con láminas de plástico y gorros para los RN Pretérminos</t>
  </si>
  <si>
    <t>108. Saturómetro de pulso con tecnología que evite la pérdida del registro por movimiento: 1 en el sector recepción reanimación, 1 por cada RN en UTI - UCI y crecimiento de prematuros. Debe existir provisión suficiente de sensores para el funcionamiento continuo y simultáneo de todos los equipos.</t>
  </si>
  <si>
    <t>109. Monitor de Frecuencia cardiaca, ECG, frecuencia respiratoria por impedanciometría, registro de apneas. 1 por cada RN en UTI-UCI.</t>
  </si>
  <si>
    <t>115. Tensiometro oscilométrico1 cada  3 incubadoras</t>
  </si>
  <si>
    <t>118. Monitor multiparamétrico con posibilidad de registro invasivo de presión arterial y venosa. 1 cada 5 unidades de terapia intensiva</t>
  </si>
  <si>
    <t xml:space="preserve">120. Refrigeradores para uso exclusivo del área . 1 para receptáculos con leche humana o fórmula. Otro para medicamentos. Un tercero para muestras de sangre orina, etc. </t>
  </si>
  <si>
    <t>122. Bombas mecánicas de vacio negativo graduable e intermitente de extracción de leche humana. 1 por cada 2000 partos en el sector específico. Bombas de extracción manual reesterilizables o descartables disponibles en el servicio.</t>
  </si>
  <si>
    <t>128. Cada respirador tiene no menos de 3 circuitos alternativos de reserva.</t>
  </si>
  <si>
    <t>135. Cada calentador tiene no menos de 3 circuitos y reservórios disponibles</t>
  </si>
  <si>
    <t>85. Cuenta con termómetro de pared y reloj grande con segundero visible desde el lado del operador y fuente de luz sobre la mesada (o servocuna)</t>
  </si>
  <si>
    <t>Relación N° partosanuales</t>
  </si>
  <si>
    <t>Dr. A. Miguel Larguía, Dr. Diego S. Enriquez</t>
  </si>
  <si>
    <t>HMI R. Sardá</t>
  </si>
  <si>
    <t>86. Cuenta con los equipos necesarios para efectuar  la correcta identificación del RN (doble pulsera y clamps con igual código)</t>
  </si>
  <si>
    <t>Evaluadores:</t>
  </si>
  <si>
    <t>Fecha:</t>
  </si>
  <si>
    <t>Planta física:</t>
  </si>
  <si>
    <t>Requisitos comunes:</t>
  </si>
  <si>
    <t>Zona de atención del RN en Sala de Partos:</t>
  </si>
  <si>
    <t>Zona de Internación Conjunta:</t>
  </si>
  <si>
    <t>Zona de Cuidados especiales Neonatales</t>
  </si>
  <si>
    <t>Recursos Humanos:</t>
  </si>
  <si>
    <t>Médicos:</t>
  </si>
  <si>
    <t>Enfermeras:</t>
  </si>
  <si>
    <t>Equipamiento e instrumental:</t>
  </si>
  <si>
    <t>Zona de atención del RN en Sala de Partos</t>
  </si>
  <si>
    <t>Servicios Complementarios:</t>
  </si>
  <si>
    <t>Laboratorio:</t>
  </si>
  <si>
    <t>Diagnóstico por imágenes</t>
  </si>
  <si>
    <t>Hemoterapia:</t>
  </si>
  <si>
    <t>Funcionamiento y Organización:</t>
  </si>
  <si>
    <t>Zona de atención del RN en Sala de Partos e Int. Conj.</t>
  </si>
  <si>
    <t>%</t>
  </si>
  <si>
    <t xml:space="preserve">                              Planilla operativa de evaluación</t>
  </si>
  <si>
    <t>87. Cuenta con el instrumental necesario (Bolsas tipo AMBU con reservorio y válvula de seguridad y/o manómetro, mascarillas de distinto tamaño, tubos endotraqueales (2.5, 3, 3.5,4)- laringoscopio con ramas  rectas de distinto tamaño, estetoscopios, caja de canalización umbilical,etc.) para reanimar simultáneamente a dos RN</t>
  </si>
  <si>
    <t>88. Cuenta con el material de laboratorio necesario para efectuar grupo, Rh ,Coombs, hematocrito, gases en sangre , cultivos u otras determinaciones.</t>
  </si>
  <si>
    <t>89. Tiene disponibles todos los medicamentos y descartables que se requieren en una reanimación- recepción con tabla de dosis en lugar visible (adrenalina, Bicarbonato de Na, Naloxona, sol. fisiológica, sueros, Vitamina K, Colirio de Nitrato de Plata, Triple colorante, etc.  Tubuladuras, agujas, jeringas, catéteres, guantes, tela adhesiva, etc)</t>
  </si>
  <si>
    <t>91. Hay equipamiento para transporte intra/extrainstitucional: Incubadoras de Transporte, Port Enfant.</t>
  </si>
  <si>
    <t>92. Hay algoritmos de Reanimación (SAP-CEFEN) visibles.</t>
  </si>
  <si>
    <t>B. Zona de Internación Conjunta</t>
  </si>
  <si>
    <t>93. Para cada RN hay una cuna de acrílico, pie cromado, con estante y/o cajón y su correspondiente colchón con funda íntegra y lavable.</t>
  </si>
  <si>
    <t>94. Hay en la Zona balanza, pediómetro y cinta métrica inextensible</t>
  </si>
  <si>
    <t>95. Los recipientes para desperdicios son de plástico con tapa y se usan con bolsas de polietileno de 3 colores identificatorios.</t>
  </si>
  <si>
    <t>96. Se usan toallas descartables para el secado de manos</t>
  </si>
  <si>
    <t>97. La Zona cuenta con  sistema de aspiración y suministro de oxígeno.</t>
  </si>
  <si>
    <t>98. Posee aparatos o sistemas utilizables en actividades de educación para la salud: proyector, televisor y videocasetera, juegos participativos, etc.</t>
  </si>
  <si>
    <t>99. Se prohibe el uso de mamaderas sin indicación médica y se desaconsejan los chupetes</t>
  </si>
  <si>
    <t>100.  Hay  cuadros o instructivos visibles sobre Lactancia Materna, forma de dormir (prevención de muerte súbita) u otros signos de alarma..</t>
  </si>
  <si>
    <t>C. Zona de Cuidados Especiales Neonatales</t>
  </si>
  <si>
    <t>101. Las cunas, pies de cuna y colchones son lavables y se mantienen  en perfecto estado de conservación.</t>
  </si>
  <si>
    <t>102. Existe una bandeja individual (estetoscopio, termómetro, etc.) para cada plaza.</t>
  </si>
  <si>
    <t>103. Hay una Incubadora de transporte intra/extrainstitucional , 1 cada 12 plazas y/o 3.000 partos por año y Port Enfant.</t>
  </si>
  <si>
    <t>104. Hay Incubadoras radiantes o servocunas , 1 cada 4 a 6 incubadoras o 1 cada 800 a 1000 nacimientos/año.</t>
  </si>
  <si>
    <t>105. Hay 1 (una) incubadora de circuito cerrado por cada 250 nacimientos/año.</t>
  </si>
  <si>
    <t>106. Equipos de luminoterapia de 8 tubos  luz azul BB o spots, 1 por cada 2 incubadoras, en total 1 cada 300 nacimientos/año..</t>
  </si>
  <si>
    <t>107. Balanza de 10.000 gr,  y pediómetro: 1 cada 5 plazas.</t>
  </si>
  <si>
    <t>110. Bombas de perfusión contínua 2 por cada incubadora</t>
  </si>
  <si>
    <t>111. Equipo completo de reanimación: 2 en el área, o 1 cada 6 plazas.</t>
  </si>
  <si>
    <t>112. Equipo de exsanguinotransfusión 2 en el área o 1 cada 6 plazas.</t>
  </si>
  <si>
    <t>113. Equipo para presión venosa central 2 en el área o 1 cada 6 plazas.</t>
  </si>
  <si>
    <t>114. Equipo de drenaje de neumotórax 2 en el área</t>
  </si>
  <si>
    <t>116. Electrocardiógrafo 1 en el área</t>
  </si>
  <si>
    <t>117. Monitor de apneas 1 cada 3 incubadoras</t>
  </si>
  <si>
    <t>119. Ecógrafo Doppler color con transductores 5 y 7.5 MHZ</t>
  </si>
  <si>
    <t>121. Oftalmoscopio y otoscopio</t>
  </si>
  <si>
    <t>123. Balanza de pañales</t>
  </si>
  <si>
    <t>124. Densitómetro óptico</t>
  </si>
  <si>
    <t>125. Aparato de Rx portátil</t>
  </si>
  <si>
    <t>126. Osciloscopio desfibrilador</t>
  </si>
  <si>
    <t>127. Respirador neonatal, 1 cada plaza de Cuidados Intensivos y no menos de 2 en el área, excluido el de transporte</t>
  </si>
  <si>
    <t>129. Equipos de Presión Positiva Contínua tipo Hudson descartables.</t>
  </si>
  <si>
    <t>130. Un Halo por cada incubadora (en 3 tamaños)</t>
  </si>
  <si>
    <t>Hospital</t>
  </si>
  <si>
    <t>Jefe de división  Neonatología desde (fecha)</t>
  </si>
  <si>
    <t>Cargo concursado:</t>
  </si>
  <si>
    <t>Horas médicos:</t>
  </si>
  <si>
    <t>Planta 24 hs</t>
  </si>
  <si>
    <t>Planta 36 hs</t>
  </si>
  <si>
    <t>Planta 40 hs</t>
  </si>
  <si>
    <t>Guardia 24 hs</t>
  </si>
  <si>
    <t>Guardia / Planta 24 hs</t>
  </si>
  <si>
    <t>Guardia / Planta 36 hs</t>
  </si>
  <si>
    <t>Guardia / Planta 40 hs</t>
  </si>
  <si>
    <t>Horas enfermería:</t>
  </si>
  <si>
    <t>Turno mañana</t>
  </si>
  <si>
    <t>Turno tarde</t>
  </si>
  <si>
    <t>Turno vespertino</t>
  </si>
  <si>
    <t>Turno noche</t>
  </si>
  <si>
    <t>Franqueras</t>
  </si>
  <si>
    <t>Mucamas:</t>
  </si>
  <si>
    <t>N° asistentes sociales</t>
  </si>
  <si>
    <t>Exclusivas:</t>
  </si>
  <si>
    <t>Interconsultores:</t>
  </si>
  <si>
    <t>Infectólogo</t>
  </si>
  <si>
    <t>Cardiólogo</t>
  </si>
  <si>
    <t>Neurólogo</t>
  </si>
  <si>
    <t>Oftalmólogo</t>
  </si>
  <si>
    <t>Cirujano</t>
  </si>
  <si>
    <t>Genetista</t>
  </si>
  <si>
    <t>N° total de partos 2004</t>
  </si>
  <si>
    <t>N° total de partos 2003 (12 meses)</t>
  </si>
  <si>
    <t>Parcial de (meses):</t>
  </si>
  <si>
    <t>% internación en area cuidados especiales:</t>
  </si>
  <si>
    <t>Giro/ cama</t>
  </si>
  <si>
    <t>% ocupacional</t>
  </si>
  <si>
    <t>Promedio de permanencia (días):</t>
  </si>
  <si>
    <t>Consultorio externo de alto riesgo</t>
  </si>
  <si>
    <t>% anual de RN con peso al nacer &lt; 2500 gr</t>
  </si>
  <si>
    <t>% anual de RN con peso al nacer &lt; 1500 gr</t>
  </si>
  <si>
    <t>Médicos Residentes rotantes de pediatría:</t>
  </si>
  <si>
    <t>Médicos Residentes de Neonatología (postbásica)</t>
  </si>
  <si>
    <t>Residencia para madres:</t>
  </si>
  <si>
    <t>Sistemas informáticos:</t>
  </si>
  <si>
    <t>N° de PC:</t>
  </si>
  <si>
    <t>Disponibilidad de plazas en:</t>
  </si>
  <si>
    <t>Terapia intensiva:</t>
  </si>
  <si>
    <t>Terapia intermedia:</t>
  </si>
  <si>
    <t>Bajo riesgo</t>
  </si>
  <si>
    <t>Internación conjunta:</t>
  </si>
  <si>
    <t>Aislamiento:</t>
  </si>
  <si>
    <t>Equipamiento:</t>
  </si>
  <si>
    <t>Incubadoras:</t>
  </si>
  <si>
    <t>Servocunas:</t>
  </si>
  <si>
    <t>Saturómetros:</t>
  </si>
  <si>
    <t>Monitores de SV:</t>
  </si>
  <si>
    <t>Respiradores convencionales:</t>
  </si>
  <si>
    <t>Respiradores sincronizados:</t>
  </si>
  <si>
    <t>Respiradores alta frecuencia:</t>
  </si>
  <si>
    <t>Bombas:</t>
  </si>
  <si>
    <t>Equipos de LMT y spots:</t>
  </si>
  <si>
    <t>Equipos de RX:</t>
  </si>
  <si>
    <t>Propuestas:</t>
  </si>
  <si>
    <t>Tasa de mortalidad global (por mil)</t>
  </si>
  <si>
    <t>Tasa de mortalidad postneonatal (por mil)</t>
  </si>
  <si>
    <t>Tasa de mortalidad precoz (por mil):</t>
  </si>
  <si>
    <t>131. Bomba de aspiración negativa 1 por cada 3 respiradores (Puede reemplazarse por aspiración central regulable con manovacuometro)</t>
  </si>
  <si>
    <t>132. Oxímetros: 1 cada 6 incubadoras.</t>
  </si>
  <si>
    <t xml:space="preserve">133. Mezclador de gases 1 por cada  unidad </t>
  </si>
  <si>
    <t>134. Calentadores –Humedificadores: 1 por cada incubadora</t>
  </si>
  <si>
    <t>136. Stock de medicamentos completos que cubra la dosificación por 24 hs. de atención de las patologías (Ver Anexo Vademecum)</t>
  </si>
  <si>
    <t>137. Stock de material descartable para uso en las  diferentes patologías durante las 24 hs. (Ver Anexo Vademecum descartables)</t>
  </si>
  <si>
    <t>Recursos limitantes: todos los items se consideran relevantes.</t>
  </si>
  <si>
    <t>Capítulo 3: Recursos humanos</t>
  </si>
  <si>
    <t>138. A todo el personal, rentado o no, se le practica un examen médico (psicofísico) de admisión que incluye radiografía de tórax, serología para rubeola (al personal femenino), Hepatitis B,  HIV,etc.</t>
  </si>
  <si>
    <t>139. Luego de toda ausencia por enfermedad se repite el examen médico</t>
  </si>
  <si>
    <t>140. Una vez por año como mínimo se repite el examen médico</t>
  </si>
  <si>
    <t>141. Se destina personal de Neonatología con patología banal (rinofaringitis, panadizos, etc.) a actividades que no implican atención directa de  pacientes.</t>
  </si>
  <si>
    <t>142. El Hospital mantiene una ficha de salud de cada empleado.</t>
  </si>
  <si>
    <t>143. Todo el personal posee un legajo donde se consignan evaluaciones periódicas (por lo menos anuales) del desempeño</t>
  </si>
  <si>
    <t>144. Todo el personal que ejecuta tareas de responsabilidad asistencial directa , tiene sus correspondientes títulos habilitantes legalizados por autoridad competente nacional y local y sus Curriculum Vitae actualizados.</t>
  </si>
  <si>
    <t>145. Los jefes y/o encargados del Servicio participan de la selección del personal médico y/o de mayor jerarquía de enfermería o administrativos.</t>
  </si>
  <si>
    <t>146. Los cargos de mayor  jerarquía son seleccionados con la participación de un miembro del equipo de salud mental.</t>
  </si>
  <si>
    <t>Médicos</t>
  </si>
  <si>
    <t>147. El Servicio de Neonatología cuenta con un Jefe que cumple no menos de 30 hs. por semana que es Neonatólogo con título de especialista certificado y/o recertificado  y ha sido designado por concurso.</t>
  </si>
  <si>
    <t>148. El Jefe del Servicio ha realizado cursos  y/o Postgrados de más de 200 hs. en Administración Sanitaria y/o Hospitalaria y/o Programas Materno Infantiles y realiza Cursos  oficiales de Educación Contínua.</t>
  </si>
  <si>
    <t>153. Hay un médico de Guardia activa durante las 24 hs. por cada 10 plazas de Cuidados Intensivos o Intermedios</t>
  </si>
  <si>
    <t>154. Hay un médico diferente del de Guardia presente por cada 3000 partos por año, en Sala de Partos.</t>
  </si>
  <si>
    <t>155. Hay Residencia propia de Neonatología como formación postbásica de Pediatría</t>
  </si>
  <si>
    <t>156. Hay Residencia médica de Pediatría con rotación de 4 a 6 meses en Neonatología</t>
  </si>
  <si>
    <t>157.  El establecimiento dispone de programas para becarios con dedicación de tiempo completo</t>
  </si>
  <si>
    <t>159. Los horarios de atención del plantel médico están distribuídos en la mañana, tarde y noche</t>
  </si>
  <si>
    <t>160. Si se trata de un Centro Perinatológico con ARM, tiene Terapistas Respiratorios durante  las 24 hs.</t>
  </si>
  <si>
    <t>Enfermeras</t>
  </si>
  <si>
    <t>161. El Servicio esta dirigido/supervisado por una Enfermera diplomada designada por concurso</t>
  </si>
  <si>
    <t xml:space="preserve">Gráficos resultantes de la Guía </t>
  </si>
  <si>
    <t>Evaluador/es:</t>
  </si>
  <si>
    <t>Institución:</t>
  </si>
  <si>
    <t>162. La Supervisora cuenta con capacitación especial en medicina materno-infantil (Cursos de más de 100 hs. en la especialidad)</t>
  </si>
  <si>
    <t>Recursos limitantes no cumplidos</t>
  </si>
  <si>
    <t>Total horas anuales</t>
  </si>
  <si>
    <t>Enfermería:</t>
  </si>
  <si>
    <t>% de la mortalidad de los &gt;28 días sobre la mortalidad general</t>
  </si>
  <si>
    <t xml:space="preserve">El recurso humano crítico es enfermería insuficiente en número y con porcentajes muy altos de ausentismo. El sistema de módulos que se utiliza como mecanismo compensatorio implica frecuentemente la sobrecarga horaria y encarece el presupuesto ya que se utiliza la modalidad de modulos dobles para los turnos nocturnos y triples para franqueras. Es de hacer notar que frecuentemente quedan turnos con número insuficientes de enfermeros/ as lo que posibilita que se cometan errores asistenciales incluyendo brechas en el control de infección IH. Creemos asimismo que los cargos de dirección del departamento de enfermería y de supervisión debieran reconcursarse con la frecuencia necesaria para la actualización de los responsables de conducción y capacitación. Finalmente creemos firmemente que enfermería debiera tener su propio gremio por su perfil profesional con altas responsabilidades en la asistencia de personas. </t>
  </si>
  <si>
    <t xml:space="preserve"> En los hospitales con residencia médica se debe replantear la necesidad de jefes e instructores actualmente en número insuficiente para la tarea de docencia en servicio con adquisición de prácticas asistenciales que necesariamente deben ser supervisadas. Respecto a la mortalidad neonatal este centro perinatologico recibe por referencia embarazadas con malformaciones letales y partos inmaduros (EG&lt;25). Estas condiciones impactan fuertemente en los resultados al punto tal que corrigiendo dicha mortalidad  excluyendo malformados y menores de 750 gr esta se reduce a 1,5 por mil. En relación al promedio de días de internación en cuidados especiales este se ve influido por las condiciones socioeconómicas de la población que obligan a postergar el alta por situaciones climáticas y o ambientales especialmente en los RN de muy bajo peso y DBP. En los ultimos 2 años se ha producido un nuevo tipo de internación: el reingreso de pacientes con patología infecciosa respiratoria que no son aceptados por los servicios de pediatría y/o neonatología abiertos. </t>
  </si>
  <si>
    <t>Este tipo de internación contraindicado en un servicio cerrado como es el de este centro compromete los resultados neonatales al exponer a RN inmunológicamente imperfectos como son los prematuros a infecciones adquiridas por VSR, influenza virus, etc.</t>
  </si>
  <si>
    <t>n</t>
  </si>
  <si>
    <t>s</t>
  </si>
  <si>
    <t>163. Cuenta con Jefa de Enfermería con capacitación en Neonatología (Cursos de más de 100 hs. en la especialidad Neonatología)</t>
  </si>
  <si>
    <t>164. La dotación de enfermeras propias de los Sectores de Cuidados Intensivos e Intermedios esta constituido por enferemars diplomadas en más de 2/3.</t>
  </si>
  <si>
    <t xml:space="preserve">165. La distribucion de enfermeras  es igual en todos los turnos </t>
  </si>
  <si>
    <t>166. Hay por lo menos un personal de enfermería permanente cada 2 pacientes de Cuidados Intensivos, 4 pacientes en Cuidados Intermedios y Crecimiento de Prematuros, 9 pacientes en Cuidados Transicionales y 12 Recién Nacidos en Internación Conjunta.</t>
  </si>
  <si>
    <t>167. Hay enfermeras dedicadas exclusivamente a la atención de los RN normales en la Internación Conjunta con formación perinatológica</t>
  </si>
  <si>
    <t>168. El personal de enfermería rota por las 3 Zonas y recibe adiestramento en Servicio</t>
  </si>
  <si>
    <t>169. Si el Servicio efectua ARM, tiene no menos de 3 enfermeras por turno en Cuidados Intensivos</t>
  </si>
  <si>
    <t>170. Hay equipo de Enfermería  especialiazada en control de Infecciones Intrahospitalarias y Bioseguridad.</t>
  </si>
  <si>
    <t>Recursos limitantes: todos los items son válidos.</t>
  </si>
  <si>
    <t>Otro personal</t>
  </si>
  <si>
    <t>171. Se dispone de Farmacéutico para preparación de medicamentos en monodosis, de soluciones parenterales y/o fraccionamiento de fórmulas líquidas bajo campana de flujo laminar vertical si es que se preparan en el Servicio.</t>
  </si>
  <si>
    <t>172. Hay una Nutricionista a cargo del Lactario de fórmulas y de leche Humana</t>
  </si>
  <si>
    <t>173. El Servicio cuenta con una mucama especialmente entrenada  por cada 10 pacientes por lo menos, en todos los turnos.</t>
  </si>
  <si>
    <t>174. Hay  1 personal administrativo cada 12 plazas</t>
  </si>
  <si>
    <t>175. Hay Asistente social asignada al Servicio</t>
  </si>
  <si>
    <t>176. Hay Psicólogo asignado al Servicio</t>
  </si>
  <si>
    <t>177. Hay técnico electrónico asignado al Servicio</t>
  </si>
  <si>
    <t>178. Hay profesional en estadísticas asignado al Servicio</t>
  </si>
  <si>
    <t>179. Existe un Servicio de Voluntarios</t>
  </si>
  <si>
    <t>Recursos limitantes:  Todos los items son relevantes en Centros Perinatológicos terciarios o de alta complejidad.</t>
  </si>
  <si>
    <t>Capítulo IV: Servicios Complementarios</t>
  </si>
  <si>
    <t>A. Laboratorio</t>
  </si>
  <si>
    <t>180. El Laboratorio esta a cargo de un profesional bioquímico que cumple no menos de 30 hs. semanales</t>
  </si>
  <si>
    <t>181. Cuenta con técnico de guardia activa las 24 hs.</t>
  </si>
  <si>
    <t>182. Se utilizan exclusivamente microtécnicas para exámenes de laboratorio</t>
  </si>
  <si>
    <t>183. Las muestra son obtenidas por personal idóneo entrenado en técnicas de infección intrahospitalaria</t>
  </si>
  <si>
    <t>184. El laboratorio puede efectuar e informar dentro de la hora de solicitado: glucemia, gases en sangre, ionograma, calcemia, hemoglobina, hematocrito,  etc.</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</si>
</sst>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0000"/>
    <numFmt numFmtId="189" formatCode="0.000000"/>
    <numFmt numFmtId="190" formatCode="0.00000"/>
    <numFmt numFmtId="191" formatCode="0.0000"/>
    <numFmt numFmtId="192" formatCode="0.000"/>
    <numFmt numFmtId="193" formatCode="0.0"/>
    <numFmt numFmtId="194" formatCode="d\-m\-yy"/>
  </numFmts>
  <fonts count="49">
    <font>
      <sz val="10"/>
      <name val="Arial"/>
      <family val="0"/>
    </font>
    <font>
      <u val="single"/>
      <sz val="10"/>
      <color indexed="12"/>
      <name val="Arial"/>
      <family val="0"/>
    </font>
    <font>
      <u val="single"/>
      <sz val="10"/>
      <color indexed="36"/>
      <name val="Arial"/>
      <family val="0"/>
    </font>
    <font>
      <b/>
      <sz val="9.75"/>
      <name val="Arial"/>
      <family val="2"/>
    </font>
    <font>
      <sz val="9.75"/>
      <name val="Arial"/>
      <family val="2"/>
    </font>
    <font>
      <sz val="19.25"/>
      <name val="Arial"/>
      <family val="0"/>
    </font>
    <font>
      <b/>
      <i/>
      <u val="single"/>
      <sz val="10.75"/>
      <name val="Arial"/>
      <family val="2"/>
    </font>
    <font>
      <b/>
      <sz val="10.5"/>
      <name val="Arial"/>
      <family val="2"/>
    </font>
    <font>
      <sz val="9.25"/>
      <name val="Arial"/>
      <family val="2"/>
    </font>
    <font>
      <sz val="18.5"/>
      <name val="Arial"/>
      <family val="0"/>
    </font>
    <font>
      <b/>
      <i/>
      <u val="single"/>
      <sz val="11.75"/>
      <name val="Arial"/>
      <family val="2"/>
    </font>
    <font>
      <sz val="8"/>
      <name val="Arial"/>
      <family val="2"/>
    </font>
    <font>
      <sz val="29.75"/>
      <name val="Arial"/>
      <family val="2"/>
    </font>
    <font>
      <b/>
      <i/>
      <u val="single"/>
      <sz val="9.75"/>
      <name val="Arial"/>
      <family val="2"/>
    </font>
    <font>
      <sz val="8.75"/>
      <name val="Arial"/>
      <family val="2"/>
    </font>
    <font>
      <b/>
      <sz val="8.75"/>
      <name val="Arial"/>
      <family val="2"/>
    </font>
    <font>
      <sz val="19"/>
      <name val="Arial"/>
      <family val="0"/>
    </font>
    <font>
      <b/>
      <i/>
      <u val="single"/>
      <sz val="9.5"/>
      <name val="Arial"/>
      <family val="2"/>
    </font>
    <font>
      <b/>
      <sz val="8.5"/>
      <name val="Arial"/>
      <family val="2"/>
    </font>
    <font>
      <sz val="16"/>
      <name val="Arial"/>
      <family val="0"/>
    </font>
    <font>
      <b/>
      <sz val="8"/>
      <name val="Arial"/>
      <family val="2"/>
    </font>
    <font>
      <sz val="8"/>
      <name val="Tahoma"/>
      <family val="0"/>
    </font>
    <font>
      <b/>
      <sz val="8"/>
      <name val="Tahoma"/>
      <family val="0"/>
    </font>
    <font>
      <sz val="10"/>
      <name val="Verdana"/>
      <family val="2"/>
    </font>
    <font>
      <b/>
      <sz val="10"/>
      <color indexed="16"/>
      <name val="Arial"/>
      <family val="2"/>
    </font>
    <font>
      <b/>
      <sz val="10"/>
      <color indexed="16"/>
      <name val="Verdana"/>
      <family val="2"/>
    </font>
    <font>
      <sz val="12"/>
      <name val="Verdana"/>
      <family val="2"/>
    </font>
    <font>
      <b/>
      <sz val="12"/>
      <name val="Arial"/>
      <family val="2"/>
    </font>
    <font>
      <sz val="14"/>
      <name val="Arial"/>
      <family val="0"/>
    </font>
    <font>
      <b/>
      <sz val="14"/>
      <name val="Verdana"/>
      <family val="2"/>
    </font>
    <font>
      <i/>
      <u val="single"/>
      <sz val="10"/>
      <name val="Verdana"/>
      <family val="2"/>
    </font>
    <font>
      <i/>
      <sz val="10"/>
      <name val="Verdana"/>
      <family val="2"/>
    </font>
    <font>
      <sz val="11"/>
      <name val="Verdana"/>
      <family val="2"/>
    </font>
    <font>
      <b/>
      <i/>
      <u val="single"/>
      <sz val="10"/>
      <name val="Verdana"/>
      <family val="2"/>
    </font>
    <font>
      <b/>
      <sz val="10"/>
      <name val="Verdana"/>
      <family val="2"/>
    </font>
    <font>
      <b/>
      <i/>
      <sz val="10"/>
      <name val="Verdana"/>
      <family val="2"/>
    </font>
    <font>
      <b/>
      <i/>
      <u val="single"/>
      <sz val="12"/>
      <name val="Verdana"/>
      <family val="2"/>
    </font>
    <font>
      <b/>
      <i/>
      <u val="single"/>
      <sz val="11"/>
      <name val="Verdana"/>
      <family val="2"/>
    </font>
    <font>
      <b/>
      <sz val="9"/>
      <name val="Verdana"/>
      <family val="2"/>
    </font>
    <font>
      <b/>
      <u val="single"/>
      <sz val="10"/>
      <name val="Verdana"/>
      <family val="2"/>
    </font>
    <font>
      <b/>
      <sz val="8"/>
      <name val="Verdana"/>
      <family val="2"/>
    </font>
    <font>
      <sz val="14"/>
      <name val="Verdana"/>
      <family val="2"/>
    </font>
    <font>
      <u val="single"/>
      <sz val="10"/>
      <name val="Verdana"/>
      <family val="2"/>
    </font>
    <font>
      <b/>
      <sz val="12"/>
      <name val="Verdana"/>
      <family val="2"/>
    </font>
    <font>
      <i/>
      <u val="single"/>
      <sz val="10"/>
      <name val="Arial"/>
      <family val="2"/>
    </font>
    <font>
      <i/>
      <sz val="10"/>
      <name val="Arial"/>
      <family val="2"/>
    </font>
    <font>
      <b/>
      <sz val="10"/>
      <name val="Arial"/>
      <family val="2"/>
    </font>
    <font>
      <b/>
      <i/>
      <sz val="10"/>
      <name val="Arial"/>
      <family val="2"/>
    </font>
    <font>
      <b/>
      <i/>
      <u val="single"/>
      <sz val="10"/>
      <name val="Arial"/>
      <family val="2"/>
    </font>
  </fonts>
  <fills count="2">
    <fill>
      <patternFill/>
    </fill>
    <fill>
      <patternFill patternType="gray125"/>
    </fill>
  </fills>
  <borders count="2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23" fillId="0" borderId="0" xfId="0" applyFont="1" applyFill="1" applyAlignment="1" applyProtection="1">
      <alignment vertical="center"/>
      <protection hidden="1"/>
    </xf>
    <xf numFmtId="0" fontId="29" fillId="0" borderId="0" xfId="0" applyFont="1" applyFill="1" applyBorder="1" applyAlignment="1" applyProtection="1">
      <alignment horizontal="center" vertical="center" wrapText="1"/>
      <protection hidden="1"/>
    </xf>
    <xf numFmtId="0" fontId="40" fillId="0" borderId="0" xfId="0" applyFont="1" applyFill="1" applyAlignment="1" applyProtection="1">
      <alignment vertical="center"/>
      <protection hidden="1"/>
    </xf>
    <xf numFmtId="0" fontId="23" fillId="0" borderId="0" xfId="0" applyFont="1" applyFill="1" applyAlignment="1" applyProtection="1">
      <alignment vertical="center" shrinkToFit="1"/>
      <protection hidden="1"/>
    </xf>
    <xf numFmtId="0" fontId="30"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left" vertical="center"/>
      <protection hidden="1"/>
    </xf>
    <xf numFmtId="0" fontId="41" fillId="0" borderId="0" xfId="0" applyFont="1" applyFill="1" applyAlignment="1" applyProtection="1">
      <alignment vertical="center"/>
      <protection hidden="1"/>
    </xf>
    <xf numFmtId="0" fontId="34" fillId="0" borderId="0" xfId="0" applyFont="1" applyFill="1" applyAlignment="1" applyProtection="1">
      <alignment vertical="center"/>
      <protection hidden="1"/>
    </xf>
    <xf numFmtId="193" fontId="23" fillId="0" borderId="0" xfId="0" applyNumberFormat="1" applyFont="1" applyFill="1" applyAlignment="1" applyProtection="1">
      <alignment vertical="center"/>
      <protection hidden="1"/>
    </xf>
    <xf numFmtId="0" fontId="34" fillId="0" borderId="0" xfId="0" applyFont="1" applyFill="1" applyBorder="1" applyAlignment="1" applyProtection="1">
      <alignment vertical="center"/>
      <protection hidden="1"/>
    </xf>
    <xf numFmtId="0" fontId="23" fillId="0" borderId="0" xfId="0" applyFont="1" applyFill="1" applyBorder="1" applyAlignment="1" applyProtection="1">
      <alignment vertical="center" shrinkToFit="1"/>
      <protection hidden="1"/>
    </xf>
    <xf numFmtId="0" fontId="23"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23" fillId="0" borderId="1" xfId="0" applyFont="1" applyFill="1" applyBorder="1" applyAlignment="1" applyProtection="1">
      <alignment vertical="center"/>
      <protection hidden="1"/>
    </xf>
    <xf numFmtId="0" fontId="23" fillId="0" borderId="2" xfId="0" applyFont="1" applyFill="1" applyBorder="1" applyAlignment="1" applyProtection="1">
      <alignment vertical="center"/>
      <protection hidden="1"/>
    </xf>
    <xf numFmtId="0" fontId="23" fillId="0" borderId="2" xfId="0" applyFont="1" applyFill="1" applyBorder="1" applyAlignment="1" applyProtection="1">
      <alignment horizontal="right" vertical="center"/>
      <protection hidden="1"/>
    </xf>
    <xf numFmtId="14" fontId="23" fillId="0" borderId="2" xfId="0" applyNumberFormat="1" applyFont="1" applyFill="1" applyBorder="1" applyAlignment="1" applyProtection="1">
      <alignment horizontal="left" vertical="center" shrinkToFit="1"/>
      <protection hidden="1"/>
    </xf>
    <xf numFmtId="0" fontId="23" fillId="0" borderId="3" xfId="0" applyFont="1" applyFill="1" applyBorder="1" applyAlignment="1" applyProtection="1">
      <alignment vertical="center"/>
      <protection hidden="1"/>
    </xf>
    <xf numFmtId="0" fontId="23" fillId="0" borderId="4" xfId="0" applyFont="1" applyFill="1" applyBorder="1" applyAlignment="1" applyProtection="1">
      <alignment horizontal="center" vertical="center"/>
      <protection hidden="1"/>
    </xf>
    <xf numFmtId="0" fontId="23" fillId="0" borderId="5" xfId="0" applyFont="1" applyFill="1" applyBorder="1" applyAlignment="1" applyProtection="1">
      <alignment horizontal="left" vertical="center"/>
      <protection hidden="1"/>
    </xf>
    <xf numFmtId="0" fontId="23" fillId="0" borderId="5" xfId="0" applyFont="1" applyFill="1" applyBorder="1" applyAlignment="1" applyProtection="1">
      <alignment vertical="center"/>
      <protection hidden="1"/>
    </xf>
    <xf numFmtId="0" fontId="34" fillId="0" borderId="5" xfId="0" applyFont="1" applyFill="1" applyBorder="1" applyAlignment="1" applyProtection="1">
      <alignment vertical="center"/>
      <protection hidden="1"/>
    </xf>
    <xf numFmtId="0" fontId="23" fillId="0" borderId="5" xfId="0" applyFont="1" applyFill="1" applyBorder="1" applyAlignment="1" applyProtection="1">
      <alignment vertical="center" shrinkToFit="1"/>
      <protection hidden="1"/>
    </xf>
    <xf numFmtId="0" fontId="23" fillId="0" borderId="6" xfId="0" applyFont="1" applyFill="1" applyBorder="1" applyAlignment="1" applyProtection="1">
      <alignment vertical="center"/>
      <protection hidden="1"/>
    </xf>
    <xf numFmtId="0" fontId="23" fillId="0" borderId="7" xfId="0" applyFont="1" applyFill="1" applyBorder="1" applyAlignment="1" applyProtection="1">
      <alignment horizontal="center" vertical="center"/>
      <protection hidden="1"/>
    </xf>
    <xf numFmtId="0" fontId="23" fillId="0" borderId="8" xfId="0" applyFont="1" applyFill="1" applyBorder="1" applyAlignment="1" applyProtection="1">
      <alignment horizontal="left" vertical="center"/>
      <protection hidden="1"/>
    </xf>
    <xf numFmtId="0" fontId="23" fillId="0" borderId="8" xfId="0" applyFont="1" applyFill="1" applyBorder="1" applyAlignment="1" applyProtection="1">
      <alignment vertical="center"/>
      <protection hidden="1"/>
    </xf>
    <xf numFmtId="0" fontId="34" fillId="0" borderId="8" xfId="0" applyFont="1" applyFill="1" applyBorder="1" applyAlignment="1" applyProtection="1">
      <alignment vertical="center"/>
      <protection hidden="1"/>
    </xf>
    <xf numFmtId="0" fontId="23" fillId="0" borderId="8" xfId="0" applyFont="1" applyFill="1" applyBorder="1" applyAlignment="1" applyProtection="1">
      <alignment vertical="center" shrinkToFit="1"/>
      <protection hidden="1"/>
    </xf>
    <xf numFmtId="0" fontId="23" fillId="0" borderId="9" xfId="0" applyFont="1" applyFill="1" applyBorder="1" applyAlignment="1" applyProtection="1">
      <alignment vertical="center"/>
      <protection hidden="1"/>
    </xf>
    <xf numFmtId="0" fontId="23" fillId="0" borderId="10" xfId="0" applyFont="1" applyFill="1" applyBorder="1" applyAlignment="1" applyProtection="1">
      <alignment horizontal="center" vertical="center" wrapText="1" shrinkToFit="1"/>
      <protection hidden="1"/>
    </xf>
    <xf numFmtId="193" fontId="34" fillId="0" borderId="10" xfId="0" applyNumberFormat="1" applyFont="1" applyFill="1" applyBorder="1" applyAlignment="1" applyProtection="1">
      <alignment vertical="center"/>
      <protection hidden="1"/>
    </xf>
    <xf numFmtId="0" fontId="34" fillId="0" borderId="10" xfId="0" applyFont="1" applyFill="1" applyBorder="1" applyAlignment="1" applyProtection="1">
      <alignment vertical="center"/>
      <protection hidden="1"/>
    </xf>
    <xf numFmtId="0" fontId="33" fillId="0" borderId="10" xfId="0" applyFont="1" applyFill="1" applyBorder="1" applyAlignment="1" applyProtection="1">
      <alignment vertical="center"/>
      <protection hidden="1"/>
    </xf>
    <xf numFmtId="193" fontId="23" fillId="0" borderId="10" xfId="0" applyNumberFormat="1"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193" fontId="23" fillId="0" borderId="10" xfId="0" applyNumberFormat="1" applyFont="1" applyFill="1" applyBorder="1" applyAlignment="1" applyProtection="1">
      <alignment vertical="center" shrinkToFit="1"/>
      <protection hidden="1"/>
    </xf>
    <xf numFmtId="0" fontId="23" fillId="0" borderId="10" xfId="0" applyFont="1" applyFill="1" applyBorder="1" applyAlignment="1" applyProtection="1">
      <alignment vertical="center" wrapText="1" shrinkToFit="1"/>
      <protection hidden="1"/>
    </xf>
    <xf numFmtId="0" fontId="0" fillId="0" borderId="0" xfId="0" applyFont="1" applyFill="1" applyAlignment="1" applyProtection="1">
      <alignment vertical="center" wrapText="1"/>
      <protection hidden="1"/>
    </xf>
    <xf numFmtId="0" fontId="23" fillId="0" borderId="0" xfId="0" applyFont="1" applyFill="1" applyAlignment="1" applyProtection="1">
      <alignment vertical="center" wrapText="1"/>
      <protection hidden="1"/>
    </xf>
    <xf numFmtId="0" fontId="30" fillId="0" borderId="0" xfId="0" applyFont="1" applyFill="1" applyBorder="1" applyAlignment="1" applyProtection="1">
      <alignment horizontal="left" vertical="center" wrapText="1"/>
      <protection hidden="1"/>
    </xf>
    <xf numFmtId="0" fontId="31" fillId="0" borderId="0" xfId="0" applyFont="1" applyFill="1" applyBorder="1" applyAlignment="1" applyProtection="1">
      <alignment horizontal="left" vertical="center" wrapText="1"/>
      <protection hidden="1"/>
    </xf>
    <xf numFmtId="0" fontId="23" fillId="0" borderId="0" xfId="0" applyFont="1" applyFill="1" applyAlignment="1" applyProtection="1">
      <alignment horizontal="right" vertical="center" wrapText="1"/>
      <protection hidden="1"/>
    </xf>
    <xf numFmtId="14" fontId="23" fillId="0" borderId="0" xfId="0" applyNumberFormat="1" applyFont="1" applyFill="1" applyAlignment="1" applyProtection="1">
      <alignment horizontal="left" vertical="center" wrapText="1" shrinkToFit="1"/>
      <protection hidden="1"/>
    </xf>
    <xf numFmtId="0" fontId="42" fillId="0" borderId="0" xfId="0" applyFont="1" applyFill="1" applyAlignment="1" applyProtection="1">
      <alignment horizontal="center" vertical="center" wrapText="1"/>
      <protection hidden="1"/>
    </xf>
    <xf numFmtId="0" fontId="23" fillId="0" borderId="0" xfId="0" applyFont="1" applyFill="1" applyAlignment="1" applyProtection="1">
      <alignment horizontal="left" vertical="center" wrapText="1"/>
      <protection hidden="1"/>
    </xf>
    <xf numFmtId="0" fontId="20" fillId="0" borderId="0" xfId="0" applyFont="1" applyFill="1" applyAlignment="1" applyProtection="1">
      <alignment vertical="center" wrapText="1"/>
      <protection hidden="1"/>
    </xf>
    <xf numFmtId="0" fontId="0" fillId="0" borderId="0" xfId="0" applyFont="1" applyFill="1" applyAlignment="1" applyProtection="1">
      <alignment vertical="center" wrapText="1" shrinkToFit="1"/>
      <protection hidden="1"/>
    </xf>
    <xf numFmtId="0" fontId="0" fillId="0" borderId="0" xfId="0" applyFont="1" applyFill="1" applyAlignment="1" applyProtection="1">
      <alignment vertical="center" wrapText="1"/>
      <protection hidden="1"/>
    </xf>
    <xf numFmtId="0" fontId="39" fillId="0" borderId="0" xfId="0" applyFont="1" applyFill="1" applyAlignment="1" applyProtection="1">
      <alignment vertical="center" wrapText="1"/>
      <protection hidden="1"/>
    </xf>
    <xf numFmtId="0" fontId="23" fillId="0" borderId="10" xfId="0" applyFont="1" applyFill="1" applyBorder="1" applyAlignment="1" applyProtection="1">
      <alignment vertical="center" wrapText="1"/>
      <protection hidden="1"/>
    </xf>
    <xf numFmtId="0" fontId="26" fillId="0" borderId="0" xfId="0" applyFont="1" applyFill="1" applyBorder="1" applyAlignment="1" applyProtection="1">
      <alignment horizontal="left" vertical="center"/>
      <protection hidden="1"/>
    </xf>
    <xf numFmtId="0" fontId="27" fillId="0" borderId="10" xfId="0" applyFont="1" applyFill="1" applyBorder="1" applyAlignment="1" applyProtection="1">
      <alignment/>
      <protection hidden="1"/>
    </xf>
    <xf numFmtId="0" fontId="28" fillId="0" borderId="10" xfId="0" applyFont="1" applyFill="1" applyBorder="1" applyAlignment="1" applyProtection="1">
      <alignment/>
      <protection hidden="1"/>
    </xf>
    <xf numFmtId="0" fontId="0" fillId="0" borderId="0" xfId="0" applyFont="1" applyFill="1" applyAlignment="1" applyProtection="1">
      <alignment shrinkToFit="1"/>
      <protection hidden="1"/>
    </xf>
    <xf numFmtId="0" fontId="0" fillId="0" borderId="0" xfId="0" applyFont="1" applyFill="1" applyAlignment="1" applyProtection="1">
      <alignment/>
      <protection hidden="1"/>
    </xf>
    <xf numFmtId="0" fontId="30" fillId="0" borderId="0" xfId="0" applyFont="1" applyFill="1" applyBorder="1" applyAlignment="1" applyProtection="1">
      <alignment horizontal="left"/>
      <protection hidden="1"/>
    </xf>
    <xf numFmtId="0" fontId="32" fillId="0" borderId="0" xfId="0" applyFont="1" applyFill="1" applyAlignment="1" applyProtection="1">
      <alignment horizontal="center"/>
      <protection hidden="1"/>
    </xf>
    <xf numFmtId="0" fontId="23" fillId="0" borderId="0" xfId="0" applyFont="1" applyFill="1" applyAlignment="1" applyProtection="1">
      <alignment horizontal="center"/>
      <protection hidden="1"/>
    </xf>
    <xf numFmtId="0" fontId="32" fillId="0" borderId="0" xfId="0" applyFont="1" applyFill="1" applyAlignment="1" applyProtection="1">
      <alignment horizontal="center" shrinkToFit="1"/>
      <protection hidden="1"/>
    </xf>
    <xf numFmtId="0" fontId="0" fillId="0" borderId="0" xfId="0" applyFont="1" applyFill="1" applyAlignment="1" applyProtection="1">
      <alignment horizontal="center" shrinkToFit="1"/>
      <protection hidden="1"/>
    </xf>
    <xf numFmtId="0" fontId="0" fillId="0" borderId="0" xfId="0" applyFont="1" applyFill="1" applyAlignment="1" applyProtection="1">
      <alignment horizontal="center"/>
      <protection hidden="1"/>
    </xf>
    <xf numFmtId="0" fontId="0" fillId="0" borderId="10" xfId="0" applyFont="1" applyFill="1" applyBorder="1" applyAlignment="1" applyProtection="1">
      <alignment/>
      <protection hidden="1"/>
    </xf>
    <xf numFmtId="194" fontId="0" fillId="0" borderId="10" xfId="0" applyNumberFormat="1" applyFont="1" applyFill="1" applyBorder="1" applyAlignment="1" applyProtection="1">
      <alignment horizontal="center"/>
      <protection hidden="1" locked="0"/>
    </xf>
    <xf numFmtId="0" fontId="0" fillId="0" borderId="10" xfId="0" applyFont="1" applyFill="1" applyBorder="1" applyAlignment="1" applyProtection="1">
      <alignment horizontal="center"/>
      <protection hidden="1" locked="0"/>
    </xf>
    <xf numFmtId="0" fontId="0" fillId="0" borderId="10" xfId="0" applyFont="1" applyFill="1" applyBorder="1" applyAlignment="1" applyProtection="1">
      <alignment horizontal="center"/>
      <protection hidden="1"/>
    </xf>
    <xf numFmtId="0" fontId="0" fillId="0" borderId="10" xfId="0" applyFont="1" applyFill="1" applyBorder="1" applyAlignment="1" applyProtection="1">
      <alignment horizontal="center" shrinkToFit="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left" shrinkToFit="1"/>
      <protection hidden="1"/>
    </xf>
    <xf numFmtId="0" fontId="0" fillId="0" borderId="10" xfId="0" applyFont="1" applyFill="1" applyBorder="1" applyAlignment="1" applyProtection="1">
      <alignment shrinkToFit="1"/>
      <protection hidden="1"/>
    </xf>
    <xf numFmtId="0" fontId="0" fillId="0" borderId="11" xfId="0" applyFont="1" applyFill="1" applyBorder="1" applyAlignment="1" applyProtection="1">
      <alignment/>
      <protection hidden="1"/>
    </xf>
    <xf numFmtId="0" fontId="0" fillId="0" borderId="11" xfId="0" applyFont="1" applyFill="1" applyBorder="1" applyAlignment="1" applyProtection="1">
      <alignment horizontal="center"/>
      <protection hidden="1" locked="0"/>
    </xf>
    <xf numFmtId="0" fontId="23" fillId="0" borderId="0" xfId="0" applyFont="1" applyFill="1" applyAlignment="1" applyProtection="1">
      <alignment/>
      <protection hidden="1"/>
    </xf>
    <xf numFmtId="0" fontId="33" fillId="0" borderId="11" xfId="0" applyFont="1" applyFill="1" applyBorder="1" applyAlignment="1" applyProtection="1">
      <alignment wrapText="1"/>
      <protection hidden="1"/>
    </xf>
    <xf numFmtId="0" fontId="34" fillId="0" borderId="12" xfId="0" applyFont="1" applyFill="1" applyBorder="1" applyAlignment="1" applyProtection="1">
      <alignment wrapText="1"/>
      <protection hidden="1"/>
    </xf>
    <xf numFmtId="0" fontId="34" fillId="0" borderId="13" xfId="0" applyFont="1" applyFill="1" applyBorder="1" applyAlignment="1" applyProtection="1">
      <alignment wrapText="1"/>
      <protection hidden="1"/>
    </xf>
    <xf numFmtId="0" fontId="23" fillId="0" borderId="0" xfId="0" applyFont="1" applyFill="1" applyAlignment="1" applyProtection="1">
      <alignment wrapText="1"/>
      <protection hidden="1"/>
    </xf>
    <xf numFmtId="0" fontId="33" fillId="0" borderId="4" xfId="0" applyFont="1" applyFill="1" applyBorder="1" applyAlignment="1" applyProtection="1">
      <alignment wrapText="1"/>
      <protection hidden="1"/>
    </xf>
    <xf numFmtId="0" fontId="23" fillId="0" borderId="5" xfId="0" applyFont="1" applyFill="1" applyBorder="1" applyAlignment="1" applyProtection="1">
      <alignment horizontal="center"/>
      <protection hidden="1"/>
    </xf>
    <xf numFmtId="0" fontId="23" fillId="0" borderId="6" xfId="0" applyFont="1" applyFill="1" applyBorder="1" applyAlignment="1" applyProtection="1">
      <alignment horizontal="center"/>
      <protection hidden="1"/>
    </xf>
    <xf numFmtId="0" fontId="23" fillId="0" borderId="10" xfId="0" applyFont="1" applyFill="1" applyBorder="1" applyAlignment="1" applyProtection="1">
      <alignment wrapText="1"/>
      <protection hidden="1"/>
    </xf>
    <xf numFmtId="0" fontId="23" fillId="0" borderId="10" xfId="0" applyFont="1" applyFill="1" applyBorder="1" applyAlignment="1" applyProtection="1">
      <alignment horizontal="center"/>
      <protection hidden="1"/>
    </xf>
    <xf numFmtId="0" fontId="31" fillId="0" borderId="4" xfId="0" applyFont="1" applyFill="1" applyBorder="1" applyAlignment="1" applyProtection="1">
      <alignment horizontal="right"/>
      <protection hidden="1"/>
    </xf>
    <xf numFmtId="0" fontId="35" fillId="0" borderId="10" xfId="0" applyFont="1" applyFill="1" applyBorder="1" applyAlignment="1" applyProtection="1">
      <alignment horizontal="right" wrapText="1"/>
      <protection hidden="1"/>
    </xf>
    <xf numFmtId="0" fontId="34" fillId="0" borderId="4" xfId="0" applyFont="1" applyFill="1" applyBorder="1" applyAlignment="1" applyProtection="1">
      <alignment wrapText="1"/>
      <protection hidden="1"/>
    </xf>
    <xf numFmtId="0" fontId="34" fillId="0" borderId="5" xfId="0" applyFont="1" applyFill="1" applyBorder="1" applyAlignment="1" applyProtection="1">
      <alignment horizontal="center"/>
      <protection hidden="1"/>
    </xf>
    <xf numFmtId="0" fontId="34" fillId="0" borderId="6" xfId="0" applyFont="1" applyFill="1" applyBorder="1" applyAlignment="1" applyProtection="1">
      <alignment horizontal="center"/>
      <protection hidden="1"/>
    </xf>
    <xf numFmtId="0" fontId="23" fillId="0" borderId="10" xfId="0" applyFont="1" applyFill="1" applyBorder="1" applyAlignment="1" applyProtection="1">
      <alignment wrapText="1" shrinkToFit="1"/>
      <protection hidden="1"/>
    </xf>
    <xf numFmtId="0" fontId="35" fillId="0" borderId="4" xfId="0" applyFont="1" applyFill="1" applyBorder="1" applyAlignment="1" applyProtection="1">
      <alignment horizontal="right" wrapText="1"/>
      <protection hidden="1"/>
    </xf>
    <xf numFmtId="49" fontId="23" fillId="0" borderId="6" xfId="0" applyNumberFormat="1" applyFont="1" applyFill="1" applyBorder="1" applyAlignment="1" applyProtection="1">
      <alignment horizontal="center"/>
      <protection hidden="1"/>
    </xf>
    <xf numFmtId="0" fontId="35" fillId="0" borderId="10" xfId="0" applyFont="1" applyFill="1" applyBorder="1" applyAlignment="1" applyProtection="1">
      <alignment wrapText="1"/>
      <protection hidden="1"/>
    </xf>
    <xf numFmtId="0" fontId="34" fillId="0" borderId="10" xfId="0" applyFont="1" applyFill="1" applyBorder="1" applyAlignment="1" applyProtection="1">
      <alignment wrapText="1"/>
      <protection hidden="1"/>
    </xf>
    <xf numFmtId="0" fontId="35" fillId="0" borderId="11" xfId="0" applyFont="1" applyFill="1" applyBorder="1" applyAlignment="1" applyProtection="1">
      <alignment wrapText="1"/>
      <protection hidden="1"/>
    </xf>
    <xf numFmtId="0" fontId="23" fillId="0" borderId="12" xfId="0" applyFont="1" applyFill="1" applyBorder="1" applyAlignment="1" applyProtection="1">
      <alignment wrapText="1"/>
      <protection hidden="1"/>
    </xf>
    <xf numFmtId="0" fontId="23" fillId="0" borderId="13" xfId="0" applyFont="1" applyFill="1" applyBorder="1" applyAlignment="1" applyProtection="1">
      <alignment wrapText="1"/>
      <protection hidden="1"/>
    </xf>
    <xf numFmtId="49" fontId="23" fillId="0" borderId="0" xfId="0" applyNumberFormat="1" applyFont="1" applyFill="1" applyBorder="1" applyAlignment="1" applyProtection="1">
      <alignment horizontal="center"/>
      <protection hidden="1"/>
    </xf>
    <xf numFmtId="0" fontId="23" fillId="0" borderId="4" xfId="0" applyFont="1" applyFill="1" applyBorder="1" applyAlignment="1" applyProtection="1">
      <alignment wrapText="1"/>
      <protection hidden="1"/>
    </xf>
    <xf numFmtId="0" fontId="23" fillId="0" borderId="11" xfId="0" applyFont="1" applyFill="1" applyBorder="1" applyAlignment="1" applyProtection="1">
      <alignment wrapText="1"/>
      <protection hidden="1"/>
    </xf>
    <xf numFmtId="0" fontId="31" fillId="0" borderId="4" xfId="0" applyFont="1" applyFill="1" applyBorder="1" applyAlignment="1" applyProtection="1">
      <alignment wrapText="1"/>
      <protection hidden="1"/>
    </xf>
    <xf numFmtId="0" fontId="36" fillId="0" borderId="0" xfId="0" applyFont="1" applyFill="1" applyAlignment="1" applyProtection="1">
      <alignment wrapText="1"/>
      <protection hidden="1"/>
    </xf>
    <xf numFmtId="0" fontId="35" fillId="0" borderId="4" xfId="0" applyFont="1" applyFill="1" applyBorder="1" applyAlignment="1" applyProtection="1">
      <alignment horizontal="right"/>
      <protection hidden="1"/>
    </xf>
    <xf numFmtId="0" fontId="31" fillId="0" borderId="10" xfId="0" applyFont="1" applyFill="1" applyBorder="1" applyAlignment="1" applyProtection="1">
      <alignment wrapText="1"/>
      <protection hidden="1"/>
    </xf>
    <xf numFmtId="0" fontId="36" fillId="0" borderId="10" xfId="0" applyFont="1" applyFill="1" applyBorder="1" applyAlignment="1" applyProtection="1">
      <alignment wrapText="1"/>
      <protection hidden="1"/>
    </xf>
    <xf numFmtId="0" fontId="34" fillId="0" borderId="10" xfId="0" applyFont="1" applyFill="1" applyBorder="1" applyAlignment="1" applyProtection="1">
      <alignment horizontal="center"/>
      <protection hidden="1"/>
    </xf>
    <xf numFmtId="0" fontId="35" fillId="0" borderId="0" xfId="0" applyFont="1" applyFill="1" applyAlignment="1" applyProtection="1">
      <alignment horizontal="right" wrapText="1"/>
      <protection hidden="1"/>
    </xf>
    <xf numFmtId="0" fontId="31" fillId="0" borderId="0" xfId="0" applyFont="1" applyFill="1" applyAlignment="1" applyProtection="1">
      <alignment wrapText="1"/>
      <protection hidden="1"/>
    </xf>
    <xf numFmtId="0" fontId="37" fillId="0" borderId="0" xfId="0" applyFont="1" applyFill="1" applyAlignment="1" applyProtection="1">
      <alignment wrapText="1"/>
      <protection hidden="1"/>
    </xf>
    <xf numFmtId="0" fontId="34" fillId="0" borderId="0" xfId="0" applyFont="1" applyFill="1" applyAlignment="1" applyProtection="1">
      <alignment wrapText="1"/>
      <protection hidden="1"/>
    </xf>
    <xf numFmtId="0" fontId="23" fillId="0" borderId="1" xfId="0" applyFont="1" applyFill="1" applyBorder="1" applyAlignment="1" applyProtection="1">
      <alignment wrapText="1"/>
      <protection hidden="1"/>
    </xf>
    <xf numFmtId="0" fontId="23" fillId="0" borderId="14" xfId="0" applyFont="1" applyFill="1" applyBorder="1" applyAlignment="1" applyProtection="1">
      <alignment horizontal="left" wrapText="1"/>
      <protection hidden="1"/>
    </xf>
    <xf numFmtId="0" fontId="23" fillId="0" borderId="15" xfId="0" applyFont="1" applyFill="1" applyBorder="1" applyAlignment="1" applyProtection="1">
      <alignment horizontal="left" wrapText="1"/>
      <protection hidden="1"/>
    </xf>
    <xf numFmtId="0" fontId="23" fillId="0" borderId="16" xfId="0" applyFont="1" applyFill="1" applyBorder="1" applyAlignment="1" applyProtection="1">
      <alignment horizontal="left" wrapText="1"/>
      <protection hidden="1"/>
    </xf>
    <xf numFmtId="0" fontId="23" fillId="0" borderId="13" xfId="0" applyFont="1" applyFill="1" applyBorder="1" applyAlignment="1" applyProtection="1">
      <alignment horizontal="center"/>
      <protection hidden="1"/>
    </xf>
    <xf numFmtId="0" fontId="23" fillId="0" borderId="11" xfId="0" applyFont="1" applyFill="1" applyBorder="1" applyAlignment="1" applyProtection="1">
      <alignment horizontal="center"/>
      <protection hidden="1"/>
    </xf>
    <xf numFmtId="0" fontId="23" fillId="0" borderId="4" xfId="0" applyFont="1" applyFill="1" applyBorder="1" applyAlignment="1" applyProtection="1">
      <alignment horizontal="center"/>
      <protection hidden="1"/>
    </xf>
    <xf numFmtId="0" fontId="23" fillId="0" borderId="6" xfId="0" applyFont="1" applyFill="1" applyBorder="1" applyAlignment="1" applyProtection="1">
      <alignment/>
      <protection hidden="1"/>
    </xf>
    <xf numFmtId="0" fontId="38" fillId="0" borderId="4" xfId="0" applyFont="1" applyFill="1" applyBorder="1" applyAlignment="1" applyProtection="1">
      <alignment wrapText="1"/>
      <protection hidden="1"/>
    </xf>
    <xf numFmtId="0" fontId="38" fillId="0" borderId="5" xfId="0" applyFont="1" applyFill="1" applyBorder="1" applyAlignment="1" applyProtection="1">
      <alignment horizontal="center"/>
      <protection hidden="1"/>
    </xf>
    <xf numFmtId="0" fontId="38" fillId="0" borderId="6" xfId="0" applyFont="1" applyFill="1" applyBorder="1" applyAlignment="1" applyProtection="1">
      <alignment horizontal="center"/>
      <protection hidden="1"/>
    </xf>
    <xf numFmtId="0" fontId="35" fillId="0" borderId="1" xfId="0" applyFont="1" applyFill="1" applyBorder="1" applyAlignment="1" applyProtection="1">
      <alignment horizontal="right" wrapText="1"/>
      <protection hidden="1"/>
    </xf>
    <xf numFmtId="0" fontId="23" fillId="0" borderId="3" xfId="0" applyFont="1" applyFill="1" applyBorder="1" applyAlignment="1" applyProtection="1">
      <alignment horizontal="center"/>
      <protection hidden="1"/>
    </xf>
    <xf numFmtId="0" fontId="39" fillId="0" borderId="17" xfId="0" applyFont="1" applyFill="1" applyBorder="1" applyAlignment="1" applyProtection="1">
      <alignment horizontal="center" wrapText="1"/>
      <protection hidden="1"/>
    </xf>
    <xf numFmtId="0" fontId="34" fillId="0" borderId="18" xfId="0" applyFont="1" applyFill="1" applyBorder="1" applyAlignment="1" applyProtection="1">
      <alignment horizontal="center"/>
      <protection hidden="1"/>
    </xf>
    <xf numFmtId="0" fontId="23" fillId="0" borderId="0" xfId="0" applyFont="1" applyFill="1" applyAlignment="1" applyProtection="1">
      <alignment shrinkToFit="1"/>
      <protection hidden="1"/>
    </xf>
    <xf numFmtId="1" fontId="0" fillId="0" borderId="10" xfId="0" applyNumberFormat="1" applyFont="1" applyFill="1" applyBorder="1" applyAlignment="1" applyProtection="1">
      <alignment horizontal="center"/>
      <protection hidden="1"/>
    </xf>
    <xf numFmtId="193" fontId="0" fillId="0" borderId="10" xfId="0" applyNumberFormat="1"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193" fontId="47"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Fill="1" applyAlignment="1" applyProtection="1">
      <alignment horizontal="right"/>
      <protection hidden="1"/>
    </xf>
    <xf numFmtId="14" fontId="0" fillId="0" borderId="0" xfId="0" applyNumberFormat="1" applyFont="1" applyFill="1" applyAlignment="1" applyProtection="1">
      <alignment/>
      <protection hidden="1"/>
    </xf>
    <xf numFmtId="193" fontId="45"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193" fontId="0" fillId="0" borderId="0" xfId="0" applyNumberFormat="1" applyFont="1" applyFill="1" applyBorder="1" applyAlignment="1" applyProtection="1">
      <alignment/>
      <protection hidden="1"/>
    </xf>
    <xf numFmtId="0" fontId="48" fillId="0" borderId="4" xfId="0" applyFont="1" applyFill="1" applyBorder="1" applyAlignment="1" applyProtection="1">
      <alignment/>
      <protection hidden="1"/>
    </xf>
    <xf numFmtId="193" fontId="0" fillId="0" borderId="5" xfId="0" applyNumberFormat="1" applyFont="1" applyFill="1" applyBorder="1" applyAlignment="1" applyProtection="1">
      <alignment/>
      <protection hidden="1"/>
    </xf>
    <xf numFmtId="0" fontId="0" fillId="0" borderId="5" xfId="0" applyFont="1" applyFill="1" applyBorder="1" applyAlignment="1" applyProtection="1">
      <alignment/>
      <protection hidden="1"/>
    </xf>
    <xf numFmtId="0" fontId="0" fillId="0" borderId="6"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93" fontId="0" fillId="0" borderId="0" xfId="0" applyNumberFormat="1" applyFont="1" applyFill="1" applyBorder="1" applyAlignment="1" applyProtection="1">
      <alignment/>
      <protection hidden="1"/>
    </xf>
    <xf numFmtId="0" fontId="48" fillId="0" borderId="0" xfId="0" applyFont="1" applyFill="1" applyBorder="1" applyAlignment="1" applyProtection="1">
      <alignment/>
      <protection hidden="1"/>
    </xf>
    <xf numFmtId="193" fontId="0" fillId="0" borderId="0" xfId="0" applyNumberFormat="1" applyFont="1" applyFill="1" applyBorder="1" applyAlignment="1" applyProtection="1">
      <alignment/>
      <protection hidden="1"/>
    </xf>
    <xf numFmtId="0" fontId="48" fillId="0" borderId="4" xfId="0" applyFont="1" applyFill="1" applyBorder="1" applyAlignment="1" applyProtection="1">
      <alignment shrinkToFit="1"/>
      <protection hidden="1"/>
    </xf>
    <xf numFmtId="193" fontId="0" fillId="0" borderId="5" xfId="0" applyNumberFormat="1" applyFont="1" applyFill="1" applyBorder="1" applyAlignment="1" applyProtection="1">
      <alignment/>
      <protection hidden="1"/>
    </xf>
    <xf numFmtId="0" fontId="0" fillId="0" borderId="0" xfId="0" applyFont="1" applyFill="1" applyBorder="1" applyAlignment="1" applyProtection="1">
      <alignment wrapText="1" shrinkToFit="1"/>
      <protection hidden="1"/>
    </xf>
    <xf numFmtId="49" fontId="23" fillId="0" borderId="13" xfId="0" applyNumberFormat="1" applyFont="1" applyFill="1" applyBorder="1" applyAlignment="1" applyProtection="1">
      <alignment horizontal="center"/>
      <protection hidden="1"/>
    </xf>
    <xf numFmtId="49" fontId="23" fillId="0" borderId="10" xfId="0" applyNumberFormat="1" applyFont="1" applyFill="1" applyBorder="1" applyAlignment="1" applyProtection="1">
      <alignment horizontal="center"/>
      <protection hidden="1"/>
    </xf>
    <xf numFmtId="49" fontId="23" fillId="0" borderId="11" xfId="0" applyNumberFormat="1" applyFont="1" applyFill="1" applyBorder="1" applyAlignment="1" applyProtection="1">
      <alignment horizontal="center"/>
      <protection hidden="1"/>
    </xf>
    <xf numFmtId="0" fontId="23" fillId="0" borderId="10" xfId="0" applyFont="1" applyFill="1" applyBorder="1" applyAlignment="1" applyProtection="1">
      <alignment shrinkToFit="1"/>
      <protection hidden="1"/>
    </xf>
    <xf numFmtId="0" fontId="0" fillId="0" borderId="7" xfId="0" applyFont="1" applyFill="1" applyBorder="1" applyAlignment="1" applyProtection="1">
      <alignment horizontal="left" wrapText="1"/>
      <protection hidden="1" locked="0"/>
    </xf>
    <xf numFmtId="0" fontId="0" fillId="0" borderId="8" xfId="0" applyFont="1" applyFill="1" applyBorder="1" applyAlignment="1" applyProtection="1">
      <alignment horizontal="left" wrapText="1"/>
      <protection hidden="1"/>
    </xf>
    <xf numFmtId="0" fontId="29" fillId="0" borderId="4" xfId="0" applyFont="1" applyFill="1" applyBorder="1" applyAlignment="1" applyProtection="1">
      <alignment horizontal="center" vertical="center" wrapText="1"/>
      <protection hidden="1"/>
    </xf>
    <xf numFmtId="0" fontId="29" fillId="0" borderId="5" xfId="0" applyFont="1" applyFill="1" applyBorder="1" applyAlignment="1" applyProtection="1">
      <alignment horizontal="center" vertical="center" wrapText="1"/>
      <protection hidden="1"/>
    </xf>
    <xf numFmtId="0" fontId="29" fillId="0" borderId="6" xfId="0" applyFont="1" applyFill="1" applyBorder="1" applyAlignment="1" applyProtection="1">
      <alignment horizontal="center" vertical="center" wrapText="1"/>
      <protection hidden="1"/>
    </xf>
    <xf numFmtId="49" fontId="23" fillId="0" borderId="10" xfId="0" applyNumberFormat="1"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protection hidden="1"/>
    </xf>
    <xf numFmtId="0" fontId="0" fillId="0" borderId="10" xfId="0" applyFont="1" applyFill="1" applyBorder="1" applyAlignment="1" applyProtection="1">
      <alignment horizontal="center"/>
      <protection/>
    </xf>
    <xf numFmtId="0" fontId="34" fillId="0" borderId="19" xfId="0" applyFont="1" applyFill="1" applyBorder="1" applyAlignment="1" applyProtection="1">
      <alignment vertical="center" shrinkToFit="1"/>
      <protection hidden="1"/>
    </xf>
    <xf numFmtId="0" fontId="0" fillId="0" borderId="0" xfId="0" applyFont="1" applyFill="1" applyAlignment="1">
      <alignment vertical="center" shrinkToFit="1"/>
    </xf>
    <xf numFmtId="0" fontId="0" fillId="0" borderId="5" xfId="0" applyFont="1" applyFill="1" applyBorder="1" applyAlignment="1">
      <alignment horizontal="center" vertical="center" wrapText="1"/>
    </xf>
    <xf numFmtId="0" fontId="42" fillId="0" borderId="4" xfId="0" applyFont="1" applyFill="1" applyBorder="1" applyAlignment="1" applyProtection="1">
      <alignment horizontal="center" vertical="center" wrapText="1"/>
      <protection hidden="1"/>
    </xf>
    <xf numFmtId="0" fontId="23" fillId="0" borderId="6"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left"/>
      <protection hidden="1"/>
    </xf>
    <xf numFmtId="0" fontId="0" fillId="0" borderId="9" xfId="0" applyFont="1" applyFill="1" applyBorder="1" applyAlignment="1" applyProtection="1">
      <alignment horizontal="left" wrapText="1"/>
      <protection hidden="1"/>
    </xf>
    <xf numFmtId="0" fontId="0" fillId="0" borderId="10" xfId="0" applyFont="1" applyFill="1" applyBorder="1" applyAlignment="1" applyProtection="1">
      <alignment horizontal="left" wrapText="1"/>
      <protection hidden="1" locked="0"/>
    </xf>
    <xf numFmtId="0" fontId="0" fillId="0" borderId="10" xfId="0" applyFont="1" applyFill="1" applyBorder="1" applyAlignment="1" applyProtection="1">
      <alignment horizontal="left" wrapText="1"/>
      <protection hidden="1"/>
    </xf>
    <xf numFmtId="0" fontId="0" fillId="0" borderId="4" xfId="0" applyFont="1" applyFill="1" applyBorder="1" applyAlignment="1" applyProtection="1">
      <alignment horizontal="left"/>
      <protection hidden="1"/>
    </xf>
    <xf numFmtId="0" fontId="0" fillId="0" borderId="6" xfId="0" applyFont="1" applyFill="1" applyBorder="1" applyAlignment="1" applyProtection="1">
      <alignment horizontal="left"/>
      <protection hidden="1"/>
    </xf>
    <xf numFmtId="0" fontId="28" fillId="0" borderId="10" xfId="0" applyFont="1" applyFill="1" applyBorder="1" applyAlignment="1" applyProtection="1">
      <alignment/>
      <protection hidden="1"/>
    </xf>
    <xf numFmtId="0" fontId="32" fillId="0" borderId="0" xfId="0" applyFont="1" applyFill="1" applyAlignment="1" applyProtection="1">
      <alignment horizontal="center" shrinkToFit="1"/>
      <protection hidden="1"/>
    </xf>
    <xf numFmtId="0" fontId="0" fillId="0" borderId="0" xfId="0" applyFont="1" applyFill="1" applyAlignment="1" applyProtection="1">
      <alignment horizontal="center" shrinkToFit="1"/>
      <protection hidden="1"/>
    </xf>
    <xf numFmtId="0" fontId="46" fillId="0" borderId="4" xfId="0" applyFont="1" applyFill="1" applyBorder="1" applyAlignment="1" applyProtection="1">
      <alignment horizontal="center"/>
      <protection hidden="1"/>
    </xf>
    <xf numFmtId="0" fontId="46" fillId="0" borderId="5" xfId="0" applyFont="1" applyFill="1" applyBorder="1" applyAlignment="1" applyProtection="1">
      <alignment horizontal="center"/>
      <protection hidden="1"/>
    </xf>
    <xf numFmtId="0" fontId="46" fillId="0" borderId="6" xfId="0" applyFont="1" applyFill="1" applyBorder="1" applyAlignment="1" applyProtection="1">
      <alignment horizontal="center"/>
      <protection hidden="1"/>
    </xf>
    <xf numFmtId="0" fontId="43" fillId="0" borderId="4" xfId="0" applyFont="1" applyFill="1" applyBorder="1" applyAlignment="1" applyProtection="1">
      <alignment horizontal="center" vertical="center"/>
      <protection hidden="1"/>
    </xf>
    <xf numFmtId="0" fontId="43" fillId="0" borderId="5" xfId="0" applyFont="1" applyFill="1" applyBorder="1" applyAlignment="1" applyProtection="1">
      <alignment horizontal="center" vertical="center"/>
      <protection hidden="1"/>
    </xf>
    <xf numFmtId="0" fontId="43" fillId="0" borderId="6" xfId="0" applyFont="1" applyFill="1" applyBorder="1" applyAlignment="1" applyProtection="1">
      <alignment horizontal="center" vertical="center"/>
      <protection hidden="1"/>
    </xf>
    <xf numFmtId="0" fontId="0" fillId="0" borderId="0" xfId="0" applyFont="1" applyFill="1" applyAlignment="1" applyProtection="1">
      <alignment horizontal="center"/>
      <protection hidden="1"/>
    </xf>
    <xf numFmtId="0" fontId="45" fillId="0" borderId="7" xfId="0" applyFont="1" applyFill="1" applyBorder="1" applyAlignment="1" applyProtection="1">
      <alignment horizontal="center" vertical="center"/>
      <protection hidden="1"/>
    </xf>
    <xf numFmtId="0" fontId="45" fillId="0" borderId="8" xfId="0" applyFont="1" applyFill="1" applyBorder="1" applyAlignment="1" applyProtection="1">
      <alignment horizontal="center" vertical="center"/>
      <protection hidden="1"/>
    </xf>
    <xf numFmtId="0" fontId="45" fillId="0" borderId="9" xfId="0" applyFont="1" applyFill="1" applyBorder="1" applyAlignment="1" applyProtection="1">
      <alignment horizontal="center" vertical="center"/>
      <protection hidden="1"/>
    </xf>
    <xf numFmtId="0" fontId="44" fillId="0" borderId="1" xfId="0" applyFont="1" applyFill="1" applyBorder="1" applyAlignment="1" applyProtection="1">
      <alignment horizontal="center"/>
      <protection hidden="1"/>
    </xf>
    <xf numFmtId="0" fontId="44" fillId="0" borderId="2" xfId="0" applyFont="1" applyFill="1" applyBorder="1" applyAlignment="1" applyProtection="1">
      <alignment horizontal="center"/>
      <protection hidden="1"/>
    </xf>
    <xf numFmtId="0" fontId="44" fillId="0" borderId="3"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ill>
        <patternFill>
          <bgColor rgb="FFFF99CC"/>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FE8E0"/>
      <rgbColor rgb="00993366"/>
      <rgbColor rgb="00FFFFCC"/>
      <rgbColor rgb="00CCFFFF"/>
      <rgbColor rgb="00660066"/>
      <rgbColor rgb="00FF8080"/>
      <rgbColor rgb="000066CC"/>
      <rgbColor rgb="00CCCCFF"/>
      <rgbColor rgb="00000080"/>
      <rgbColor rgb="00E0E8D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1" u="sng" baseline="0">
                <a:latin typeface="Arial"/>
                <a:ea typeface="Arial"/>
                <a:cs typeface="Arial"/>
              </a:rPr>
              <a:t>Planta física</a:t>
            </a:r>
          </a:p>
        </c:rich>
      </c:tx>
      <c:layout/>
      <c:spPr>
        <a:noFill/>
        <a:ln>
          <a:noFill/>
        </a:ln>
      </c:spPr>
    </c:title>
    <c:view3D>
      <c:rotX val="36"/>
      <c:rotY val="37"/>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Informe!$B$16:$B$19</c:f>
              <c:strCache>
                <c:ptCount val="4"/>
                <c:pt idx="0">
                  <c:v>Requisitos comunes:</c:v>
                </c:pt>
                <c:pt idx="1">
                  <c:v>Zona de atención del RN en Sala de Partos:</c:v>
                </c:pt>
                <c:pt idx="2">
                  <c:v>Zona de Internación Conjunta:</c:v>
                </c:pt>
                <c:pt idx="3">
                  <c:v>Zona de Cuidados especiales Neonatales</c:v>
                </c:pt>
              </c:strCache>
            </c:strRef>
          </c:cat>
          <c:val>
            <c:numRef>
              <c:f>Informe!$C$16:$C$19</c:f>
              <c:numCache>
                <c:ptCount val="4"/>
                <c:pt idx="0">
                  <c:v>75</c:v>
                </c:pt>
                <c:pt idx="1">
                  <c:v>88.88888888888889</c:v>
                </c:pt>
                <c:pt idx="2">
                  <c:v>66.66666666666666</c:v>
                </c:pt>
                <c:pt idx="3">
                  <c:v>93.47826086956522</c:v>
                </c:pt>
              </c:numCache>
            </c:numRef>
          </c:val>
          <c:shape val="box"/>
        </c:ser>
        <c:shape val="box"/>
        <c:axId val="51523189"/>
        <c:axId val="61055518"/>
      </c:bar3DChart>
      <c:catAx>
        <c:axId val="51523189"/>
        <c:scaling>
          <c:orientation val="minMax"/>
        </c:scaling>
        <c:axPos val="b"/>
        <c:title>
          <c:tx>
            <c:rich>
              <a:bodyPr vert="horz" rot="0" anchor="ctr"/>
              <a:lstStyle/>
              <a:p>
                <a:pPr algn="ctr">
                  <a:defRPr/>
                </a:pPr>
                <a:r>
                  <a:rPr lang="en-US" cap="none" sz="975" b="1" i="0" u="none" baseline="0">
                    <a:latin typeface="Arial"/>
                    <a:ea typeface="Arial"/>
                    <a:cs typeface="Arial"/>
                  </a:rPr>
                  <a:t>Zonas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1055518"/>
        <c:crosses val="autoZero"/>
        <c:auto val="1"/>
        <c:lblOffset val="100"/>
        <c:noMultiLvlLbl val="0"/>
      </c:catAx>
      <c:valAx>
        <c:axId val="61055518"/>
        <c:scaling>
          <c:orientation val="minMax"/>
        </c:scaling>
        <c:axPos val="l"/>
        <c:title>
          <c:tx>
            <c:rich>
              <a:bodyPr vert="horz" rot="0" anchor="ctr"/>
              <a:lstStyle/>
              <a:p>
                <a:pPr algn="ctr">
                  <a:defRPr/>
                </a:pPr>
                <a:r>
                  <a:rPr lang="en-US" cap="none" sz="975" b="1" i="0" u="none" baseline="0">
                    <a:latin typeface="Arial"/>
                    <a:ea typeface="Arial"/>
                    <a:cs typeface="Arial"/>
                  </a:rPr>
                  <a:t>Porcentaje de ítems cumplidos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1523189"/>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1" u="sng" baseline="0">
                <a:latin typeface="Arial"/>
                <a:ea typeface="Arial"/>
                <a:cs typeface="Arial"/>
              </a:rPr>
              <a:t>Equipamiento e Instrumental</a:t>
            </a:r>
          </a:p>
        </c:rich>
      </c:tx>
      <c:layout/>
      <c:spPr>
        <a:noFill/>
        <a:ln>
          <a:noFill/>
        </a:ln>
      </c:spPr>
    </c:title>
    <c:view3D>
      <c:rotX val="12"/>
      <c:rotY val="24"/>
      <c:depthPercent val="100"/>
      <c:rAngAx val="1"/>
    </c:view3D>
    <c:plotArea>
      <c:layout>
        <c:manualLayout>
          <c:xMode val="edge"/>
          <c:yMode val="edge"/>
          <c:x val="0.06325"/>
          <c:y val="0.12775"/>
          <c:w val="0.88875"/>
          <c:h val="0.8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Arial"/>
                    <a:ea typeface="Arial"/>
                    <a:cs typeface="Arial"/>
                  </a:defRPr>
                </a:pPr>
              </a:p>
            </c:txPr>
            <c:showLegendKey val="0"/>
            <c:showVal val="1"/>
            <c:showBubbleSize val="0"/>
            <c:showCatName val="0"/>
            <c:showSerName val="0"/>
            <c:showPercent val="0"/>
          </c:dLbls>
          <c:cat>
            <c:strRef>
              <c:f>Informe!$B$24:$B$27</c:f>
              <c:strCache>
                <c:ptCount val="4"/>
                <c:pt idx="0">
                  <c:v>Requisitos comunes:</c:v>
                </c:pt>
                <c:pt idx="1">
                  <c:v>Zona de atención del RN en Sala de Partos</c:v>
                </c:pt>
                <c:pt idx="2">
                  <c:v>Zona de Internación Conjunta:</c:v>
                </c:pt>
                <c:pt idx="3">
                  <c:v>Zona de Cuidados especiales Neonatales</c:v>
                </c:pt>
              </c:strCache>
            </c:strRef>
          </c:cat>
          <c:val>
            <c:numRef>
              <c:f>Informe!$C$24:$C$27</c:f>
              <c:numCache>
                <c:ptCount val="4"/>
                <c:pt idx="0">
                  <c:v>87.5</c:v>
                </c:pt>
                <c:pt idx="1">
                  <c:v>0</c:v>
                </c:pt>
                <c:pt idx="2">
                  <c:v>87.5</c:v>
                </c:pt>
                <c:pt idx="3">
                  <c:v>86.48648648648648</c:v>
                </c:pt>
              </c:numCache>
            </c:numRef>
          </c:val>
          <c:shape val="box"/>
        </c:ser>
        <c:shape val="box"/>
        <c:axId val="12628751"/>
        <c:axId val="46549896"/>
      </c:bar3DChart>
      <c:catAx>
        <c:axId val="12628751"/>
        <c:scaling>
          <c:orientation val="minMax"/>
        </c:scaling>
        <c:axPos val="b"/>
        <c:title>
          <c:tx>
            <c:rich>
              <a:bodyPr vert="horz" rot="0" anchor="ctr"/>
              <a:lstStyle/>
              <a:p>
                <a:pPr algn="ctr">
                  <a:defRPr/>
                </a:pPr>
                <a:r>
                  <a:rPr lang="en-US" cap="none" sz="1050" b="1" i="0" u="none" baseline="0">
                    <a:latin typeface="Arial"/>
                    <a:ea typeface="Arial"/>
                    <a:cs typeface="Arial"/>
                  </a:rPr>
                  <a:t>Zonas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6549896"/>
        <c:crosses val="autoZero"/>
        <c:auto val="1"/>
        <c:lblOffset val="100"/>
        <c:noMultiLvlLbl val="0"/>
      </c:catAx>
      <c:valAx>
        <c:axId val="46549896"/>
        <c:scaling>
          <c:orientation val="minMax"/>
        </c:scaling>
        <c:axPos val="l"/>
        <c:title>
          <c:tx>
            <c:rich>
              <a:bodyPr vert="horz" rot="0" anchor="ctr"/>
              <a:lstStyle/>
              <a:p>
                <a:pPr algn="ctr">
                  <a:defRPr/>
                </a:pPr>
                <a:r>
                  <a:rPr lang="en-US" cap="none" sz="875" b="1" i="0" u="none" baseline="0">
                    <a:latin typeface="Arial"/>
                    <a:ea typeface="Arial"/>
                    <a:cs typeface="Arial"/>
                  </a:rPr>
                  <a:t>Porcentaje de ítems cumplidos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262875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1" u="sng" baseline="0">
                <a:latin typeface="Arial"/>
                <a:ea typeface="Arial"/>
                <a:cs typeface="Arial"/>
              </a:rPr>
              <a:t>Funcionamiento y Organización del Servicio</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Arial"/>
                    <a:ea typeface="Arial"/>
                    <a:cs typeface="Arial"/>
                  </a:defRPr>
                </a:pPr>
              </a:p>
            </c:txPr>
            <c:showLegendKey val="0"/>
            <c:showVal val="1"/>
            <c:showBubbleSize val="0"/>
            <c:showCatName val="0"/>
            <c:showSerName val="0"/>
            <c:showPercent val="0"/>
          </c:dLbls>
          <c:cat>
            <c:strRef>
              <c:f>Informe!$B$47:$B$49</c:f>
              <c:strCache>
                <c:ptCount val="3"/>
                <c:pt idx="0">
                  <c:v>Requisitos comunes:</c:v>
                </c:pt>
                <c:pt idx="1">
                  <c:v>Zona de atención del RN en Sala de Partos e Int. Conj.</c:v>
                </c:pt>
                <c:pt idx="2">
                  <c:v>Zona de Cuidados especiales Neonatales</c:v>
                </c:pt>
              </c:strCache>
            </c:strRef>
          </c:cat>
          <c:val>
            <c:numRef>
              <c:f>Informe!$C$47:$C$49</c:f>
              <c:numCache>
                <c:ptCount val="3"/>
                <c:pt idx="0">
                  <c:v>94.73684210526315</c:v>
                </c:pt>
                <c:pt idx="1">
                  <c:v>100</c:v>
                </c:pt>
                <c:pt idx="2">
                  <c:v>93.33333333333333</c:v>
                </c:pt>
              </c:numCache>
            </c:numRef>
          </c:val>
          <c:shape val="box"/>
        </c:ser>
        <c:shape val="box"/>
        <c:axId val="16295881"/>
        <c:axId val="12445202"/>
      </c:bar3DChart>
      <c:catAx>
        <c:axId val="16295881"/>
        <c:scaling>
          <c:orientation val="minMax"/>
        </c:scaling>
        <c:axPos val="b"/>
        <c:title>
          <c:tx>
            <c:rich>
              <a:bodyPr vert="horz" rot="0" anchor="ctr"/>
              <a:lstStyle/>
              <a:p>
                <a:pPr algn="ctr">
                  <a:defRPr/>
                </a:pPr>
                <a:r>
                  <a:rPr lang="en-US" cap="none" sz="875" b="0" i="0" u="none" baseline="0">
                    <a:latin typeface="Arial"/>
                    <a:ea typeface="Arial"/>
                    <a:cs typeface="Arial"/>
                  </a:rPr>
                  <a:t>Zonas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2445202"/>
        <c:crosses val="autoZero"/>
        <c:auto val="1"/>
        <c:lblOffset val="100"/>
        <c:noMultiLvlLbl val="0"/>
      </c:catAx>
      <c:valAx>
        <c:axId val="12445202"/>
        <c:scaling>
          <c:orientation val="minMax"/>
        </c:scaling>
        <c:axPos val="l"/>
        <c:title>
          <c:tx>
            <c:rich>
              <a:bodyPr vert="horz" rot="0" anchor="ctr"/>
              <a:lstStyle/>
              <a:p>
                <a:pPr algn="ctr">
                  <a:defRPr/>
                </a:pPr>
                <a:r>
                  <a:rPr lang="en-US" cap="none" sz="800" b="0" i="0" u="none" baseline="0">
                    <a:latin typeface="Arial"/>
                    <a:ea typeface="Arial"/>
                    <a:cs typeface="Arial"/>
                  </a:rPr>
                  <a:t>Porcentaje de ítems cumplidos</a:t>
                </a:r>
              </a:p>
            </c:rich>
          </c:tx>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629588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sng" baseline="0">
                <a:latin typeface="Arial"/>
                <a:ea typeface="Arial"/>
                <a:cs typeface="Arial"/>
              </a:rPr>
              <a:t>Recursos humanos</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Arial"/>
                    <a:ea typeface="Arial"/>
                    <a:cs typeface="Arial"/>
                  </a:defRPr>
                </a:pPr>
              </a:p>
            </c:txPr>
            <c:showLegendKey val="0"/>
            <c:showVal val="1"/>
            <c:showBubbleSize val="0"/>
            <c:showCatName val="0"/>
            <c:showSerName val="0"/>
            <c:showPercent val="0"/>
          </c:dLbls>
          <c:cat>
            <c:strRef>
              <c:f>Informe!$B$32:$B$35</c:f>
              <c:strCache>
                <c:ptCount val="4"/>
                <c:pt idx="0">
                  <c:v>Requisitos comunes:</c:v>
                </c:pt>
                <c:pt idx="1">
                  <c:v>Enfermeras:</c:v>
                </c:pt>
                <c:pt idx="2">
                  <c:v>Médicos:</c:v>
                </c:pt>
                <c:pt idx="3">
                  <c:v>Otro personal</c:v>
                </c:pt>
              </c:strCache>
            </c:strRef>
          </c:cat>
          <c:val>
            <c:numRef>
              <c:f>Informe!$C$32:$C$35</c:f>
              <c:numCache>
                <c:ptCount val="4"/>
                <c:pt idx="0">
                  <c:v>44.44444444444444</c:v>
                </c:pt>
                <c:pt idx="1">
                  <c:v>70</c:v>
                </c:pt>
                <c:pt idx="2">
                  <c:v>85.71428571428571</c:v>
                </c:pt>
                <c:pt idx="3">
                  <c:v>66.66666666666666</c:v>
                </c:pt>
              </c:numCache>
            </c:numRef>
          </c:val>
          <c:shape val="box"/>
        </c:ser>
        <c:shape val="box"/>
        <c:axId val="44897955"/>
        <c:axId val="1428412"/>
      </c:bar3DChart>
      <c:catAx>
        <c:axId val="44897955"/>
        <c:scaling>
          <c:orientation val="minMax"/>
        </c:scaling>
        <c:axPos val="b"/>
        <c:title>
          <c:tx>
            <c:rich>
              <a:bodyPr vert="horz" rot="0" anchor="ctr"/>
              <a:lstStyle/>
              <a:p>
                <a:pPr algn="ctr">
                  <a:defRPr/>
                </a:pPr>
                <a:r>
                  <a:rPr lang="en-US" cap="none" sz="850" b="1" i="0" u="none" baseline="0">
                    <a:latin typeface="Arial"/>
                    <a:ea typeface="Arial"/>
                    <a:cs typeface="Arial"/>
                  </a:rPr>
                  <a:t>Personal</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428412"/>
        <c:crosses val="autoZero"/>
        <c:auto val="1"/>
        <c:lblOffset val="100"/>
        <c:noMultiLvlLbl val="0"/>
      </c:catAx>
      <c:valAx>
        <c:axId val="1428412"/>
        <c:scaling>
          <c:orientation val="minMax"/>
        </c:scaling>
        <c:axPos val="l"/>
        <c:title>
          <c:tx>
            <c:rich>
              <a:bodyPr vert="horz" rot="0" anchor="ctr"/>
              <a:lstStyle/>
              <a:p>
                <a:pPr algn="ctr">
                  <a:defRPr/>
                </a:pPr>
                <a:r>
                  <a:rPr lang="en-US" cap="none" sz="850" b="1" i="0" u="none" baseline="0">
                    <a:latin typeface="Arial"/>
                    <a:ea typeface="Arial"/>
                    <a:cs typeface="Arial"/>
                  </a:rPr>
                  <a:t>Porcentaje de ítems cumplidos</a:t>
                </a:r>
              </a:p>
            </c:rich>
          </c:tx>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4897955"/>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Servicios complementarios </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Arial"/>
                    <a:ea typeface="Arial"/>
                    <a:cs typeface="Arial"/>
                  </a:defRPr>
                </a:pPr>
              </a:p>
            </c:txPr>
            <c:showLegendKey val="0"/>
            <c:showVal val="1"/>
            <c:showBubbleSize val="0"/>
            <c:showCatName val="0"/>
            <c:showSerName val="0"/>
            <c:showPercent val="0"/>
          </c:dLbls>
          <c:cat>
            <c:strRef>
              <c:f>Informe!$B$40:$B$42</c:f>
              <c:strCache>
                <c:ptCount val="3"/>
                <c:pt idx="0">
                  <c:v>Laboratorio:</c:v>
                </c:pt>
                <c:pt idx="1">
                  <c:v>Diagnóstico por imágenes</c:v>
                </c:pt>
                <c:pt idx="2">
                  <c:v>Hemoterapia:</c:v>
                </c:pt>
              </c:strCache>
            </c:strRef>
          </c:cat>
          <c:val>
            <c:numRef>
              <c:f>Informe!$C$40:$C$42</c:f>
              <c:numCache>
                <c:ptCount val="3"/>
                <c:pt idx="0">
                  <c:v>100</c:v>
                </c:pt>
                <c:pt idx="1">
                  <c:v>83.33333333333334</c:v>
                </c:pt>
                <c:pt idx="2">
                  <c:v>75</c:v>
                </c:pt>
              </c:numCache>
            </c:numRef>
          </c:val>
          <c:shape val="box"/>
        </c:ser>
        <c:shape val="box"/>
        <c:axId val="12855709"/>
        <c:axId val="48592518"/>
      </c:bar3DChart>
      <c:catAx>
        <c:axId val="12855709"/>
        <c:scaling>
          <c:orientation val="minMax"/>
        </c:scaling>
        <c:axPos val="b"/>
        <c:title>
          <c:tx>
            <c:rich>
              <a:bodyPr vert="horz" rot="0" anchor="ctr"/>
              <a:lstStyle/>
              <a:p>
                <a:pPr algn="ctr">
                  <a:defRPr/>
                </a:pPr>
                <a:r>
                  <a:rPr lang="en-US" cap="none" sz="800" b="1" i="0" u="none" baseline="0">
                    <a:latin typeface="Arial"/>
                    <a:ea typeface="Arial"/>
                    <a:cs typeface="Arial"/>
                  </a:rPr>
                  <a:t>Servicios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8592518"/>
        <c:crosses val="autoZero"/>
        <c:auto val="1"/>
        <c:lblOffset val="100"/>
        <c:noMultiLvlLbl val="0"/>
      </c:catAx>
      <c:valAx>
        <c:axId val="48592518"/>
        <c:scaling>
          <c:orientation val="minMax"/>
        </c:scaling>
        <c:axPos val="l"/>
        <c:title>
          <c:tx>
            <c:rich>
              <a:bodyPr vert="horz" rot="0" anchor="ctr"/>
              <a:lstStyle/>
              <a:p>
                <a:pPr algn="ctr">
                  <a:defRPr/>
                </a:pPr>
                <a:r>
                  <a:rPr lang="en-US" cap="none" sz="800" b="1" i="0" u="none" baseline="0">
                    <a:latin typeface="Arial"/>
                    <a:ea typeface="Arial"/>
                    <a:cs typeface="Arial"/>
                  </a:rPr>
                  <a:t>Porcentaje de ítems cumplidos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855709"/>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422</xdr:row>
      <xdr:rowOff>152400</xdr:rowOff>
    </xdr:from>
    <xdr:to>
      <xdr:col>0</xdr:col>
      <xdr:colOff>4638675</xdr:colOff>
      <xdr:row>423</xdr:row>
      <xdr:rowOff>19050</xdr:rowOff>
    </xdr:to>
    <xdr:sp>
      <xdr:nvSpPr>
        <xdr:cNvPr id="1" name="Rectangle 1"/>
        <xdr:cNvSpPr>
          <a:spLocks/>
        </xdr:cNvSpPr>
      </xdr:nvSpPr>
      <xdr:spPr>
        <a:xfrm>
          <a:off x="571500" y="126311025"/>
          <a:ext cx="4067175" cy="285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38100</xdr:rowOff>
    </xdr:from>
    <xdr:to>
      <xdr:col>1</xdr:col>
      <xdr:colOff>4238625</xdr:colOff>
      <xdr:row>12</xdr:row>
      <xdr:rowOff>28575</xdr:rowOff>
    </xdr:to>
    <xdr:sp>
      <xdr:nvSpPr>
        <xdr:cNvPr id="1" name="Rectangle 1"/>
        <xdr:cNvSpPr>
          <a:spLocks/>
        </xdr:cNvSpPr>
      </xdr:nvSpPr>
      <xdr:spPr>
        <a:xfrm>
          <a:off x="19050" y="1905000"/>
          <a:ext cx="6257925" cy="1400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25</xdr:row>
      <xdr:rowOff>152400</xdr:rowOff>
    </xdr:from>
    <xdr:to>
      <xdr:col>1</xdr:col>
      <xdr:colOff>3400425</xdr:colOff>
      <xdr:row>25</xdr:row>
      <xdr:rowOff>209550</xdr:rowOff>
    </xdr:to>
    <xdr:sp>
      <xdr:nvSpPr>
        <xdr:cNvPr id="2" name="Rectangle 2"/>
        <xdr:cNvSpPr>
          <a:spLocks/>
        </xdr:cNvSpPr>
      </xdr:nvSpPr>
      <xdr:spPr>
        <a:xfrm>
          <a:off x="581025" y="9877425"/>
          <a:ext cx="485775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45</xdr:row>
      <xdr:rowOff>152400</xdr:rowOff>
    </xdr:from>
    <xdr:to>
      <xdr:col>1</xdr:col>
      <xdr:colOff>3228975</xdr:colOff>
      <xdr:row>46</xdr:row>
      <xdr:rowOff>38100</xdr:rowOff>
    </xdr:to>
    <xdr:sp>
      <xdr:nvSpPr>
        <xdr:cNvPr id="3" name="Rectangle 3"/>
        <xdr:cNvSpPr>
          <a:spLocks/>
        </xdr:cNvSpPr>
      </xdr:nvSpPr>
      <xdr:spPr>
        <a:xfrm>
          <a:off x="647700" y="18040350"/>
          <a:ext cx="4619625"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12</xdr:row>
      <xdr:rowOff>66675</xdr:rowOff>
    </xdr:from>
    <xdr:to>
      <xdr:col>5</xdr:col>
      <xdr:colOff>390525</xdr:colOff>
      <xdr:row>30</xdr:row>
      <xdr:rowOff>104775</xdr:rowOff>
    </xdr:to>
    <xdr:graphicFrame>
      <xdr:nvGraphicFramePr>
        <xdr:cNvPr id="1" name="Chart 2"/>
        <xdr:cNvGraphicFramePr/>
      </xdr:nvGraphicFramePr>
      <xdr:xfrm>
        <a:off x="66675" y="2743200"/>
        <a:ext cx="5343525" cy="29527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85725</xdr:colOff>
      <xdr:row>38</xdr:row>
      <xdr:rowOff>66675</xdr:rowOff>
    </xdr:from>
    <xdr:to>
      <xdr:col>5</xdr:col>
      <xdr:colOff>428625</xdr:colOff>
      <xdr:row>62</xdr:row>
      <xdr:rowOff>152400</xdr:rowOff>
    </xdr:to>
    <xdr:graphicFrame>
      <xdr:nvGraphicFramePr>
        <xdr:cNvPr id="2" name="Chart 3"/>
        <xdr:cNvGraphicFramePr/>
      </xdr:nvGraphicFramePr>
      <xdr:xfrm>
        <a:off x="85725" y="6953250"/>
        <a:ext cx="53625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142875</xdr:colOff>
      <xdr:row>70</xdr:row>
      <xdr:rowOff>19050</xdr:rowOff>
    </xdr:from>
    <xdr:to>
      <xdr:col>5</xdr:col>
      <xdr:colOff>457200</xdr:colOff>
      <xdr:row>86</xdr:row>
      <xdr:rowOff>95250</xdr:rowOff>
    </xdr:to>
    <xdr:graphicFrame>
      <xdr:nvGraphicFramePr>
        <xdr:cNvPr id="3" name="Chart 4"/>
        <xdr:cNvGraphicFramePr/>
      </xdr:nvGraphicFramePr>
      <xdr:xfrm>
        <a:off x="142875" y="10763250"/>
        <a:ext cx="5334000" cy="266700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171450</xdr:colOff>
      <xdr:row>89</xdr:row>
      <xdr:rowOff>104775</xdr:rowOff>
    </xdr:from>
    <xdr:to>
      <xdr:col>5</xdr:col>
      <xdr:colOff>457200</xdr:colOff>
      <xdr:row>106</xdr:row>
      <xdr:rowOff>152400</xdr:rowOff>
    </xdr:to>
    <xdr:graphicFrame>
      <xdr:nvGraphicFramePr>
        <xdr:cNvPr id="4" name="Chart 5"/>
        <xdr:cNvGraphicFramePr/>
      </xdr:nvGraphicFramePr>
      <xdr:xfrm>
        <a:off x="171450" y="13925550"/>
        <a:ext cx="5305425" cy="28003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200025</xdr:colOff>
      <xdr:row>110</xdr:row>
      <xdr:rowOff>104775</xdr:rowOff>
    </xdr:from>
    <xdr:to>
      <xdr:col>5</xdr:col>
      <xdr:colOff>447675</xdr:colOff>
      <xdr:row>124</xdr:row>
      <xdr:rowOff>133350</xdr:rowOff>
    </xdr:to>
    <xdr:graphicFrame>
      <xdr:nvGraphicFramePr>
        <xdr:cNvPr id="5" name="Chart 6"/>
        <xdr:cNvGraphicFramePr/>
      </xdr:nvGraphicFramePr>
      <xdr:xfrm>
        <a:off x="200025" y="17325975"/>
        <a:ext cx="5267325" cy="2295525"/>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6</xdr:row>
      <xdr:rowOff>57150</xdr:rowOff>
    </xdr:from>
    <xdr:to>
      <xdr:col>5</xdr:col>
      <xdr:colOff>123825</xdr:colOff>
      <xdr:row>9</xdr:row>
      <xdr:rowOff>133350</xdr:rowOff>
    </xdr:to>
    <xdr:sp>
      <xdr:nvSpPr>
        <xdr:cNvPr id="6" name="Rectangle 8"/>
        <xdr:cNvSpPr>
          <a:spLocks/>
        </xdr:cNvSpPr>
      </xdr:nvSpPr>
      <xdr:spPr>
        <a:xfrm>
          <a:off x="514350" y="1695450"/>
          <a:ext cx="4629150" cy="5619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u&#237;a%20de%20evaluaci&#243;n%20de%20servicios%20de%20Neo%20Garrah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 de datos"/>
      <sheetName val="Informe"/>
      <sheetName val="Recursos limitantes"/>
      <sheetName val="Numérico"/>
      <sheetName val="Graficos de n"/>
      <sheetName val="Gráficos"/>
    </sheetNames>
    <definedNames>
      <definedName name="Porta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3"/>
  <dimension ref="A1:D425"/>
  <sheetViews>
    <sheetView showGridLines="0" tabSelected="1" workbookViewId="0" topLeftCell="A1">
      <selection activeCell="B12" sqref="B12"/>
    </sheetView>
  </sheetViews>
  <sheetFormatPr defaultColWidth="11.421875" defaultRowHeight="12.75"/>
  <cols>
    <col min="1" max="1" width="69.7109375" style="77" customWidth="1"/>
    <col min="2" max="2" width="8.140625" style="58" customWidth="1"/>
    <col min="3" max="3" width="3.8515625" style="59" customWidth="1"/>
    <col min="4" max="4" width="1.57421875" style="73" customWidth="1"/>
    <col min="5" max="16384" width="11.421875" style="73" customWidth="1"/>
  </cols>
  <sheetData>
    <row r="1" spans="1:3" ht="54.75" customHeight="1">
      <c r="A1" s="156" t="s">
        <v>159</v>
      </c>
      <c r="B1" s="157"/>
      <c r="C1" s="158"/>
    </row>
    <row r="2" spans="1:2" ht="18.75" customHeight="1">
      <c r="A2" s="57" t="s">
        <v>164</v>
      </c>
      <c r="B2" s="58" t="s">
        <v>33</v>
      </c>
    </row>
    <row r="3" ht="15.75" customHeight="1">
      <c r="A3" s="6" t="s">
        <v>107</v>
      </c>
    </row>
    <row r="4" ht="14.25"/>
    <row r="5" spans="1:2" ht="12.75">
      <c r="A5" s="74" t="s">
        <v>28</v>
      </c>
      <c r="B5" s="59"/>
    </row>
    <row r="6" spans="1:2" ht="25.5">
      <c r="A6" s="75" t="s">
        <v>139</v>
      </c>
      <c r="B6" s="59"/>
    </row>
    <row r="7" spans="1:2" ht="12.75">
      <c r="A7" s="75" t="s">
        <v>140</v>
      </c>
      <c r="B7" s="59"/>
    </row>
    <row r="8" spans="1:2" ht="12.75">
      <c r="A8" s="75" t="s">
        <v>141</v>
      </c>
      <c r="B8" s="59"/>
    </row>
    <row r="9" spans="1:2" ht="12.75">
      <c r="A9" s="76" t="s">
        <v>142</v>
      </c>
      <c r="B9" s="59"/>
    </row>
    <row r="10" ht="12.75">
      <c r="B10" s="59"/>
    </row>
    <row r="11" spans="1:3" ht="12.75">
      <c r="A11" s="78" t="s">
        <v>143</v>
      </c>
      <c r="B11" s="79"/>
      <c r="C11" s="80"/>
    </row>
    <row r="12" spans="1:3" ht="32.25" customHeight="1">
      <c r="A12" s="81" t="s">
        <v>83</v>
      </c>
      <c r="B12" s="150" t="s">
        <v>427</v>
      </c>
      <c r="C12" s="82">
        <f>IF(B12="S",1,0)</f>
        <v>0</v>
      </c>
    </row>
    <row r="13" spans="1:4" ht="36.75" customHeight="1">
      <c r="A13" s="81" t="s">
        <v>144</v>
      </c>
      <c r="B13" s="151" t="s">
        <v>427</v>
      </c>
      <c r="C13" s="82">
        <f aca="true" t="shared" si="0" ref="C13:C23">IF(B13="S",1,0)</f>
        <v>0</v>
      </c>
      <c r="D13" s="73">
        <f>C13-C12</f>
        <v>0</v>
      </c>
    </row>
    <row r="14" spans="1:3" ht="25.5">
      <c r="A14" s="81" t="s">
        <v>145</v>
      </c>
      <c r="B14" s="151" t="s">
        <v>428</v>
      </c>
      <c r="C14" s="82">
        <f t="shared" si="0"/>
        <v>1</v>
      </c>
    </row>
    <row r="15" spans="1:3" ht="12.75">
      <c r="A15" s="81" t="s">
        <v>146</v>
      </c>
      <c r="B15" s="151" t="s">
        <v>428</v>
      </c>
      <c r="C15" s="82">
        <f t="shared" si="0"/>
        <v>1</v>
      </c>
    </row>
    <row r="16" spans="1:3" ht="12.75">
      <c r="A16" s="81" t="s">
        <v>147</v>
      </c>
      <c r="B16" s="151" t="s">
        <v>428</v>
      </c>
      <c r="C16" s="82">
        <f t="shared" si="0"/>
        <v>1</v>
      </c>
    </row>
    <row r="17" spans="1:3" ht="12.75">
      <c r="A17" s="81" t="s">
        <v>148</v>
      </c>
      <c r="B17" s="151" t="s">
        <v>428</v>
      </c>
      <c r="C17" s="82">
        <f t="shared" si="0"/>
        <v>1</v>
      </c>
    </row>
    <row r="18" spans="1:3" ht="29.25" customHeight="1">
      <c r="A18" s="81" t="s">
        <v>149</v>
      </c>
      <c r="B18" s="151" t="s">
        <v>428</v>
      </c>
      <c r="C18" s="82">
        <f t="shared" si="0"/>
        <v>1</v>
      </c>
    </row>
    <row r="19" spans="1:3" ht="12.75">
      <c r="A19" s="81" t="s">
        <v>150</v>
      </c>
      <c r="B19" s="151" t="s">
        <v>427</v>
      </c>
      <c r="C19" s="82">
        <f t="shared" si="0"/>
        <v>0</v>
      </c>
    </row>
    <row r="20" spans="1:3" ht="26.25" customHeight="1">
      <c r="A20" s="81" t="s">
        <v>151</v>
      </c>
      <c r="B20" s="151" t="s">
        <v>428</v>
      </c>
      <c r="C20" s="82">
        <f t="shared" si="0"/>
        <v>1</v>
      </c>
    </row>
    <row r="21" spans="1:3" ht="12.75">
      <c r="A21" s="81" t="s">
        <v>152</v>
      </c>
      <c r="B21" s="151" t="s">
        <v>428</v>
      </c>
      <c r="C21" s="82">
        <f t="shared" si="0"/>
        <v>1</v>
      </c>
    </row>
    <row r="22" spans="1:3" ht="27" customHeight="1">
      <c r="A22" s="81" t="s">
        <v>153</v>
      </c>
      <c r="B22" s="151" t="s">
        <v>428</v>
      </c>
      <c r="C22" s="82">
        <f t="shared" si="0"/>
        <v>1</v>
      </c>
    </row>
    <row r="23" spans="1:3" ht="38.25" customHeight="1">
      <c r="A23" s="81" t="s">
        <v>180</v>
      </c>
      <c r="B23" s="151" t="s">
        <v>428</v>
      </c>
      <c r="C23" s="82">
        <f t="shared" si="0"/>
        <v>1</v>
      </c>
    </row>
    <row r="24" spans="1:3" ht="12.75">
      <c r="A24" s="83" t="s">
        <v>92</v>
      </c>
      <c r="B24" s="80"/>
      <c r="C24" s="82">
        <f>IF(C20+C21+C23&lt;3,0,(SUM(C12:C23)))</f>
        <v>9</v>
      </c>
    </row>
    <row r="25" spans="1:2" ht="33" customHeight="1">
      <c r="A25" s="84" t="str">
        <f>IF(C20+C21+C23&lt;3,"Recursos Limitantes: De no cumplir 9, 10 y 12 se anulan las demás",".")</f>
        <v>.</v>
      </c>
      <c r="B25" s="82"/>
    </row>
    <row r="26" ht="12.75">
      <c r="B26" s="59"/>
    </row>
    <row r="27" spans="1:3" ht="12.75">
      <c r="A27" s="85" t="s">
        <v>154</v>
      </c>
      <c r="B27" s="86"/>
      <c r="C27" s="87"/>
    </row>
    <row r="28" spans="1:3" ht="39" customHeight="1">
      <c r="A28" s="81" t="s">
        <v>155</v>
      </c>
      <c r="B28" s="151" t="s">
        <v>428</v>
      </c>
      <c r="C28" s="82">
        <f aca="true" t="shared" si="1" ref="C28:C36">IF(B28="S",1,0)</f>
        <v>1</v>
      </c>
    </row>
    <row r="29" spans="1:3" ht="23.25" customHeight="1">
      <c r="A29" s="81" t="s">
        <v>156</v>
      </c>
      <c r="B29" s="151" t="s">
        <v>428</v>
      </c>
      <c r="C29" s="82">
        <f t="shared" si="1"/>
        <v>1</v>
      </c>
    </row>
    <row r="30" spans="1:3" ht="42" customHeight="1">
      <c r="A30" s="81" t="s">
        <v>157</v>
      </c>
      <c r="B30" s="151" t="s">
        <v>428</v>
      </c>
      <c r="C30" s="82">
        <f t="shared" si="1"/>
        <v>1</v>
      </c>
    </row>
    <row r="31" spans="1:3" ht="35.25" customHeight="1">
      <c r="A31" s="81" t="s">
        <v>158</v>
      </c>
      <c r="B31" s="151" t="s">
        <v>428</v>
      </c>
      <c r="C31" s="82">
        <f t="shared" si="1"/>
        <v>1</v>
      </c>
    </row>
    <row r="32" spans="1:3" ht="42.75" customHeight="1">
      <c r="A32" s="88" t="s">
        <v>163</v>
      </c>
      <c r="B32" s="151" t="s">
        <v>428</v>
      </c>
      <c r="C32" s="82">
        <f t="shared" si="1"/>
        <v>1</v>
      </c>
    </row>
    <row r="33" spans="1:3" ht="28.5" customHeight="1">
      <c r="A33" s="81" t="s">
        <v>166</v>
      </c>
      <c r="B33" s="151" t="s">
        <v>428</v>
      </c>
      <c r="C33" s="82">
        <f t="shared" si="1"/>
        <v>1</v>
      </c>
    </row>
    <row r="34" spans="1:3" ht="25.5" customHeight="1">
      <c r="A34" s="81" t="s">
        <v>167</v>
      </c>
      <c r="B34" s="151" t="s">
        <v>428</v>
      </c>
      <c r="C34" s="82">
        <f t="shared" si="1"/>
        <v>1</v>
      </c>
    </row>
    <row r="35" spans="1:3" ht="12.75">
      <c r="A35" s="81" t="s">
        <v>168</v>
      </c>
      <c r="B35" s="151" t="s">
        <v>428</v>
      </c>
      <c r="C35" s="82">
        <f t="shared" si="1"/>
        <v>1</v>
      </c>
    </row>
    <row r="36" spans="1:3" ht="24.75" customHeight="1">
      <c r="A36" s="81" t="s">
        <v>169</v>
      </c>
      <c r="B36" s="151" t="s">
        <v>427</v>
      </c>
      <c r="C36" s="82">
        <f t="shared" si="1"/>
        <v>0</v>
      </c>
    </row>
    <row r="37" spans="1:3" ht="12.75">
      <c r="A37" s="89" t="s">
        <v>96</v>
      </c>
      <c r="B37" s="90"/>
      <c r="C37" s="82">
        <f>IF(C28+C32+C33+C34&lt;4,0,SUM(C28:C36))</f>
        <v>8</v>
      </c>
    </row>
    <row r="38" spans="1:2" ht="31.5" customHeight="1">
      <c r="A38" s="91" t="str">
        <f>IF(C34+C33+C32+C28&lt;4,"Recursos limitantes: De no existir los puntos 13, 17,18 y 19 se anula el Subcapítulo",".")</f>
        <v>.</v>
      </c>
      <c r="B38" s="82"/>
    </row>
    <row r="39" spans="1:2" ht="12.75">
      <c r="A39" s="92" t="s">
        <v>165</v>
      </c>
      <c r="B39" s="59"/>
    </row>
    <row r="40" ht="12.75">
      <c r="B40" s="59"/>
    </row>
    <row r="41" spans="1:3" ht="12.75">
      <c r="A41" s="85" t="s">
        <v>170</v>
      </c>
      <c r="B41" s="86"/>
      <c r="C41" s="87"/>
    </row>
    <row r="42" spans="1:3" ht="35.25" customHeight="1">
      <c r="A42" s="81" t="s">
        <v>171</v>
      </c>
      <c r="B42" s="151" t="s">
        <v>428</v>
      </c>
      <c r="C42" s="82">
        <f aca="true" t="shared" si="2" ref="C42:C47">IF(B42="S",1,0)</f>
        <v>1</v>
      </c>
    </row>
    <row r="43" spans="1:3" ht="33.75" customHeight="1">
      <c r="A43" s="81" t="s">
        <v>172</v>
      </c>
      <c r="B43" s="151" t="s">
        <v>428</v>
      </c>
      <c r="C43" s="82">
        <f t="shared" si="2"/>
        <v>1</v>
      </c>
    </row>
    <row r="44" spans="1:3" ht="12.75">
      <c r="A44" s="81" t="s">
        <v>173</v>
      </c>
      <c r="B44" s="151" t="s">
        <v>428</v>
      </c>
      <c r="C44" s="82">
        <f t="shared" si="2"/>
        <v>1</v>
      </c>
    </row>
    <row r="45" spans="1:3" ht="12.75">
      <c r="A45" s="81" t="s">
        <v>174</v>
      </c>
      <c r="B45" s="151" t="s">
        <v>427</v>
      </c>
      <c r="C45" s="82">
        <f t="shared" si="2"/>
        <v>0</v>
      </c>
    </row>
    <row r="46" spans="1:3" ht="29.25" customHeight="1">
      <c r="A46" s="81" t="s">
        <v>175</v>
      </c>
      <c r="B46" s="151" t="s">
        <v>428</v>
      </c>
      <c r="C46" s="82">
        <f t="shared" si="2"/>
        <v>1</v>
      </c>
    </row>
    <row r="47" spans="1:3" ht="12.75">
      <c r="A47" s="81" t="s">
        <v>176</v>
      </c>
      <c r="B47" s="151" t="s">
        <v>427</v>
      </c>
      <c r="C47" s="82">
        <f t="shared" si="2"/>
        <v>0</v>
      </c>
    </row>
    <row r="48" spans="1:3" ht="12.75">
      <c r="A48" s="89" t="s">
        <v>96</v>
      </c>
      <c r="B48" s="80"/>
      <c r="C48" s="82">
        <f>IF(C42+C43&lt;2,0,SUM(C42:C47))</f>
        <v>4</v>
      </c>
    </row>
    <row r="49" spans="1:2" ht="33.75" customHeight="1">
      <c r="A49" s="91" t="str">
        <f>IF(C42+C43&lt;2,"Recursos limitantes: De no cumplirse los puntos 22 y 23 se anula el Subcapítulo",".")</f>
        <v>.</v>
      </c>
      <c r="B49" s="82"/>
    </row>
    <row r="50" ht="6.75" customHeight="1">
      <c r="B50" s="59"/>
    </row>
    <row r="51" ht="6" customHeight="1">
      <c r="B51" s="59"/>
    </row>
    <row r="52" ht="6.75" customHeight="1">
      <c r="B52" s="59"/>
    </row>
    <row r="53" spans="1:2" ht="25.5">
      <c r="A53" s="77" t="s">
        <v>177</v>
      </c>
      <c r="B53" s="59"/>
    </row>
    <row r="54" spans="1:2" ht="30" customHeight="1">
      <c r="A54" s="77" t="s">
        <v>178</v>
      </c>
      <c r="B54" s="59"/>
    </row>
    <row r="55" spans="1:2" ht="12.75">
      <c r="A55" s="93" t="s">
        <v>179</v>
      </c>
      <c r="B55" s="59"/>
    </row>
    <row r="56" spans="1:2" ht="41.25" customHeight="1">
      <c r="A56" s="94" t="s">
        <v>84</v>
      </c>
      <c r="B56" s="59"/>
    </row>
    <row r="57" spans="1:2" ht="51" customHeight="1">
      <c r="A57" s="95" t="s">
        <v>85</v>
      </c>
      <c r="B57" s="59"/>
    </row>
    <row r="58" spans="1:2" ht="12.75">
      <c r="A58" s="93" t="s">
        <v>181</v>
      </c>
      <c r="B58" s="59"/>
    </row>
    <row r="59" spans="1:2" ht="54.75" customHeight="1">
      <c r="A59" s="94" t="s">
        <v>86</v>
      </c>
      <c r="B59" s="59"/>
    </row>
    <row r="60" spans="1:2" ht="54.75" customHeight="1">
      <c r="A60" s="95" t="s">
        <v>87</v>
      </c>
      <c r="B60" s="59"/>
    </row>
    <row r="61" spans="1:2" ht="12.75">
      <c r="A61" s="93" t="s">
        <v>182</v>
      </c>
      <c r="B61" s="59"/>
    </row>
    <row r="62" spans="1:2" ht="48" customHeight="1">
      <c r="A62" s="94" t="s">
        <v>88</v>
      </c>
      <c r="B62" s="59"/>
    </row>
    <row r="63" spans="1:2" ht="42.75" customHeight="1">
      <c r="A63" s="95" t="s">
        <v>89</v>
      </c>
      <c r="B63" s="59"/>
    </row>
    <row r="64" spans="1:2" ht="12.75">
      <c r="A64" s="93" t="s">
        <v>183</v>
      </c>
      <c r="B64" s="59"/>
    </row>
    <row r="65" spans="1:2" ht="33" customHeight="1">
      <c r="A65" s="94" t="s">
        <v>90</v>
      </c>
      <c r="B65" s="59"/>
    </row>
    <row r="66" spans="1:2" ht="30.75" customHeight="1">
      <c r="A66" s="95" t="s">
        <v>91</v>
      </c>
      <c r="B66" s="59"/>
    </row>
    <row r="67" ht="7.5" customHeight="1">
      <c r="B67" s="59"/>
    </row>
    <row r="68" spans="1:3" ht="44.25" customHeight="1">
      <c r="A68" s="81" t="s">
        <v>184</v>
      </c>
      <c r="B68" s="151" t="s">
        <v>428</v>
      </c>
      <c r="C68" s="82">
        <f aca="true" t="shared" si="3" ref="C68:C74">IF(B68="S",1,0)</f>
        <v>1</v>
      </c>
    </row>
    <row r="69" spans="1:3" ht="40.5" customHeight="1">
      <c r="A69" s="81" t="s">
        <v>185</v>
      </c>
      <c r="B69" s="151" t="s">
        <v>428</v>
      </c>
      <c r="C69" s="82">
        <f t="shared" si="3"/>
        <v>1</v>
      </c>
    </row>
    <row r="70" spans="1:3" ht="24" customHeight="1">
      <c r="A70" s="81" t="s">
        <v>186</v>
      </c>
      <c r="B70" s="151" t="s">
        <v>428</v>
      </c>
      <c r="C70" s="82">
        <f t="shared" si="3"/>
        <v>1</v>
      </c>
    </row>
    <row r="71" spans="1:3" ht="27" customHeight="1">
      <c r="A71" s="81" t="s">
        <v>187</v>
      </c>
      <c r="B71" s="151" t="s">
        <v>428</v>
      </c>
      <c r="C71" s="82">
        <f t="shared" si="3"/>
        <v>1</v>
      </c>
    </row>
    <row r="72" spans="1:3" ht="30" customHeight="1">
      <c r="A72" s="81" t="s">
        <v>188</v>
      </c>
      <c r="B72" s="151" t="s">
        <v>428</v>
      </c>
      <c r="C72" s="82">
        <f t="shared" si="3"/>
        <v>1</v>
      </c>
    </row>
    <row r="73" spans="1:3" ht="27" customHeight="1">
      <c r="A73" s="81" t="s">
        <v>189</v>
      </c>
      <c r="B73" s="151" t="s">
        <v>428</v>
      </c>
      <c r="C73" s="82">
        <f t="shared" si="3"/>
        <v>1</v>
      </c>
    </row>
    <row r="74" spans="1:3" ht="28.5" customHeight="1">
      <c r="A74" s="81" t="s">
        <v>190</v>
      </c>
      <c r="B74" s="151" t="s">
        <v>428</v>
      </c>
      <c r="C74" s="82">
        <f t="shared" si="3"/>
        <v>1</v>
      </c>
    </row>
    <row r="75" spans="1:3" ht="12.75">
      <c r="A75" s="89" t="s">
        <v>96</v>
      </c>
      <c r="B75" s="90"/>
      <c r="C75" s="82">
        <f>IF(C68+C69&lt;2,0,SUM(C68:C74))</f>
        <v>7</v>
      </c>
    </row>
    <row r="76" spans="1:2" ht="36" customHeight="1">
      <c r="A76" s="91" t="str">
        <f>IF(C68+C69&lt;2,"Recursos limitantes: De no cumplir los puntos 28 y 29 se anulan los demás.",".")</f>
        <v>.</v>
      </c>
      <c r="B76" s="82"/>
    </row>
    <row r="77" ht="12.75">
      <c r="B77" s="59"/>
    </row>
    <row r="78" spans="1:3" ht="12.75">
      <c r="A78" s="85" t="s">
        <v>191</v>
      </c>
      <c r="B78" s="86"/>
      <c r="C78" s="87"/>
    </row>
    <row r="79" spans="1:3" ht="12.75">
      <c r="A79" s="81" t="s">
        <v>192</v>
      </c>
      <c r="B79" s="151" t="s">
        <v>428</v>
      </c>
      <c r="C79" s="82">
        <f aca="true" t="shared" si="4" ref="C79:C91">IF(B79="S",1,0)</f>
        <v>1</v>
      </c>
    </row>
    <row r="80" spans="1:3" ht="12.75">
      <c r="A80" s="81" t="s">
        <v>193</v>
      </c>
      <c r="B80" s="151" t="s">
        <v>428</v>
      </c>
      <c r="C80" s="82">
        <f t="shared" si="4"/>
        <v>1</v>
      </c>
    </row>
    <row r="81" spans="1:3" ht="12.75">
      <c r="A81" s="81" t="s">
        <v>194</v>
      </c>
      <c r="B81" s="151" t="s">
        <v>428</v>
      </c>
      <c r="C81" s="82">
        <f t="shared" si="4"/>
        <v>1</v>
      </c>
    </row>
    <row r="82" spans="1:3" ht="12.75">
      <c r="A82" s="81" t="s">
        <v>195</v>
      </c>
      <c r="B82" s="151" t="s">
        <v>428</v>
      </c>
      <c r="C82" s="82">
        <f t="shared" si="4"/>
        <v>1</v>
      </c>
    </row>
    <row r="83" spans="1:3" ht="27" customHeight="1">
      <c r="A83" s="81" t="s">
        <v>196</v>
      </c>
      <c r="B83" s="151" t="s">
        <v>428</v>
      </c>
      <c r="C83" s="82">
        <f t="shared" si="4"/>
        <v>1</v>
      </c>
    </row>
    <row r="84" spans="1:3" ht="26.25" customHeight="1">
      <c r="A84" s="81" t="s">
        <v>197</v>
      </c>
      <c r="B84" s="151" t="s">
        <v>428</v>
      </c>
      <c r="C84" s="82">
        <f t="shared" si="4"/>
        <v>1</v>
      </c>
    </row>
    <row r="85" spans="1:3" ht="12.75">
      <c r="A85" s="81" t="s">
        <v>198</v>
      </c>
      <c r="B85" s="151" t="s">
        <v>428</v>
      </c>
      <c r="C85" s="82">
        <f t="shared" si="4"/>
        <v>1</v>
      </c>
    </row>
    <row r="86" spans="1:3" ht="12.75">
      <c r="A86" s="81" t="s">
        <v>199</v>
      </c>
      <c r="B86" s="151" t="s">
        <v>428</v>
      </c>
      <c r="C86" s="82">
        <f t="shared" si="4"/>
        <v>1</v>
      </c>
    </row>
    <row r="87" spans="1:3" ht="13.5" customHeight="1">
      <c r="A87" s="81" t="s">
        <v>200</v>
      </c>
      <c r="B87" s="151" t="s">
        <v>428</v>
      </c>
      <c r="C87" s="82">
        <f t="shared" si="4"/>
        <v>1</v>
      </c>
    </row>
    <row r="88" spans="1:3" ht="25.5" customHeight="1">
      <c r="A88" s="81" t="s">
        <v>201</v>
      </c>
      <c r="B88" s="151" t="s">
        <v>428</v>
      </c>
      <c r="C88" s="82">
        <f t="shared" si="4"/>
        <v>1</v>
      </c>
    </row>
    <row r="89" spans="1:3" ht="12.75">
      <c r="A89" s="81" t="s">
        <v>202</v>
      </c>
      <c r="B89" s="151" t="s">
        <v>428</v>
      </c>
      <c r="C89" s="82">
        <f t="shared" si="4"/>
        <v>1</v>
      </c>
    </row>
    <row r="90" spans="1:3" ht="12.75">
      <c r="A90" s="81" t="s">
        <v>203</v>
      </c>
      <c r="B90" s="151" t="s">
        <v>428</v>
      </c>
      <c r="C90" s="82">
        <f t="shared" si="4"/>
        <v>1</v>
      </c>
    </row>
    <row r="91" spans="1:3" ht="12.75">
      <c r="A91" s="81" t="s">
        <v>204</v>
      </c>
      <c r="B91" s="151" t="s">
        <v>428</v>
      </c>
      <c r="C91" s="82">
        <f t="shared" si="4"/>
        <v>1</v>
      </c>
    </row>
    <row r="92" ht="12.75">
      <c r="B92" s="96"/>
    </row>
    <row r="93" spans="1:3" ht="12.75">
      <c r="A93" s="85" t="s">
        <v>205</v>
      </c>
      <c r="B93" s="86"/>
      <c r="C93" s="87"/>
    </row>
    <row r="94" spans="1:3" ht="39" customHeight="1">
      <c r="A94" s="81" t="s">
        <v>206</v>
      </c>
      <c r="B94" s="151" t="s">
        <v>428</v>
      </c>
      <c r="C94" s="82">
        <f>IF(B94="S",1,0)</f>
        <v>1</v>
      </c>
    </row>
    <row r="95" spans="1:3" ht="26.25" customHeight="1">
      <c r="A95" s="81" t="s">
        <v>207</v>
      </c>
      <c r="B95" s="151" t="s">
        <v>428</v>
      </c>
      <c r="C95" s="82">
        <f>IF(B95="S",1,0)</f>
        <v>1</v>
      </c>
    </row>
    <row r="96" spans="1:3" ht="29.25" customHeight="1">
      <c r="A96" s="81" t="s">
        <v>208</v>
      </c>
      <c r="B96" s="151" t="s">
        <v>428</v>
      </c>
      <c r="C96" s="82">
        <f>IF(B96="S",1,0)</f>
        <v>1</v>
      </c>
    </row>
    <row r="97" spans="1:3" ht="13.5" customHeight="1">
      <c r="A97" s="81" t="s">
        <v>209</v>
      </c>
      <c r="B97" s="151" t="s">
        <v>428</v>
      </c>
      <c r="C97" s="82">
        <f>IF(B97="S",1,0)</f>
        <v>1</v>
      </c>
    </row>
    <row r="98" spans="1:3" ht="29.25" customHeight="1">
      <c r="A98" s="81" t="s">
        <v>210</v>
      </c>
      <c r="B98" s="151" t="s">
        <v>428</v>
      </c>
      <c r="C98" s="82">
        <f>IF(B98="S",1,0)</f>
        <v>1</v>
      </c>
    </row>
    <row r="99" ht="12.75">
      <c r="B99" s="96"/>
    </row>
    <row r="100" spans="1:3" ht="12.75">
      <c r="A100" s="85" t="s">
        <v>211</v>
      </c>
      <c r="B100" s="86"/>
      <c r="C100" s="87"/>
    </row>
    <row r="101" spans="1:3" ht="25.5">
      <c r="A101" s="81" t="s">
        <v>212</v>
      </c>
      <c r="B101" s="151" t="s">
        <v>428</v>
      </c>
      <c r="C101" s="82">
        <f aca="true" t="shared" si="5" ref="C101:C107">IF(B101="S",1,0)</f>
        <v>1</v>
      </c>
    </row>
    <row r="102" spans="1:3" ht="26.25" customHeight="1">
      <c r="A102" s="81" t="s">
        <v>213</v>
      </c>
      <c r="B102" s="151" t="s">
        <v>428</v>
      </c>
      <c r="C102" s="82">
        <f t="shared" si="5"/>
        <v>1</v>
      </c>
    </row>
    <row r="103" spans="1:3" ht="12.75">
      <c r="A103" s="81" t="s">
        <v>214</v>
      </c>
      <c r="B103" s="151" t="s">
        <v>428</v>
      </c>
      <c r="C103" s="82">
        <f t="shared" si="5"/>
        <v>1</v>
      </c>
    </row>
    <row r="104" spans="1:3" ht="12.75">
      <c r="A104" s="81" t="s">
        <v>215</v>
      </c>
      <c r="B104" s="151" t="s">
        <v>428</v>
      </c>
      <c r="C104" s="82">
        <f t="shared" si="5"/>
        <v>1</v>
      </c>
    </row>
    <row r="105" spans="1:3" ht="12.75">
      <c r="A105" s="81" t="s">
        <v>216</v>
      </c>
      <c r="B105" s="151" t="s">
        <v>428</v>
      </c>
      <c r="C105" s="82">
        <f t="shared" si="5"/>
        <v>1</v>
      </c>
    </row>
    <row r="106" spans="1:3" ht="27" customHeight="1">
      <c r="A106" s="81" t="s">
        <v>217</v>
      </c>
      <c r="B106" s="151" t="s">
        <v>427</v>
      </c>
      <c r="C106" s="82">
        <f t="shared" si="5"/>
        <v>0</v>
      </c>
    </row>
    <row r="107" spans="1:3" ht="12.75">
      <c r="A107" s="81" t="s">
        <v>218</v>
      </c>
      <c r="B107" s="151" t="s">
        <v>427</v>
      </c>
      <c r="C107" s="82">
        <f t="shared" si="5"/>
        <v>0</v>
      </c>
    </row>
    <row r="108" ht="12.75">
      <c r="B108" s="96"/>
    </row>
    <row r="109" spans="1:3" ht="12.75">
      <c r="A109" s="97" t="s">
        <v>219</v>
      </c>
      <c r="B109" s="79"/>
      <c r="C109" s="80"/>
    </row>
    <row r="110" spans="1:3" ht="39.75" customHeight="1">
      <c r="A110" s="81" t="s">
        <v>222</v>
      </c>
      <c r="B110" s="151" t="s">
        <v>428</v>
      </c>
      <c r="C110" s="82">
        <f aca="true" t="shared" si="6" ref="C110:C117">IF(B110="S",1,0)</f>
        <v>1</v>
      </c>
    </row>
    <row r="111" spans="1:3" ht="29.25" customHeight="1">
      <c r="A111" s="81" t="s">
        <v>223</v>
      </c>
      <c r="B111" s="151" t="s">
        <v>428</v>
      </c>
      <c r="C111" s="82">
        <f t="shared" si="6"/>
        <v>1</v>
      </c>
    </row>
    <row r="112" spans="1:3" ht="12.75">
      <c r="A112" s="81" t="s">
        <v>224</v>
      </c>
      <c r="B112" s="151" t="s">
        <v>428</v>
      </c>
      <c r="C112" s="82">
        <f t="shared" si="6"/>
        <v>1</v>
      </c>
    </row>
    <row r="113" spans="1:3" ht="36" customHeight="1">
      <c r="A113" s="81" t="s">
        <v>225</v>
      </c>
      <c r="B113" s="151" t="s">
        <v>428</v>
      </c>
      <c r="C113" s="82">
        <f t="shared" si="6"/>
        <v>1</v>
      </c>
    </row>
    <row r="114" spans="1:3" ht="12.75">
      <c r="A114" s="81" t="s">
        <v>226</v>
      </c>
      <c r="B114" s="151" t="s">
        <v>428</v>
      </c>
      <c r="C114" s="82">
        <f t="shared" si="6"/>
        <v>1</v>
      </c>
    </row>
    <row r="115" spans="1:3" ht="27" customHeight="1">
      <c r="A115" s="81" t="s">
        <v>161</v>
      </c>
      <c r="B115" s="151" t="s">
        <v>428</v>
      </c>
      <c r="C115" s="82">
        <f t="shared" si="6"/>
        <v>1</v>
      </c>
    </row>
    <row r="116" spans="1:3" ht="27" customHeight="1">
      <c r="A116" s="81" t="s">
        <v>227</v>
      </c>
      <c r="B116" s="151" t="s">
        <v>428</v>
      </c>
      <c r="C116" s="82">
        <f t="shared" si="6"/>
        <v>1</v>
      </c>
    </row>
    <row r="117" spans="1:3" ht="30" customHeight="1">
      <c r="A117" s="81" t="s">
        <v>228</v>
      </c>
      <c r="B117" s="151" t="s">
        <v>428</v>
      </c>
      <c r="C117" s="82">
        <f t="shared" si="6"/>
        <v>1</v>
      </c>
    </row>
    <row r="118" spans="1:3" ht="12.75">
      <c r="A118" s="81" t="s">
        <v>229</v>
      </c>
      <c r="B118" s="82"/>
      <c r="C118" s="82"/>
    </row>
    <row r="119" spans="1:3" ht="25.5" customHeight="1">
      <c r="A119" s="81" t="s">
        <v>230</v>
      </c>
      <c r="B119" s="151" t="s">
        <v>428</v>
      </c>
      <c r="C119" s="82">
        <f>IF(B119="S",1,0)</f>
        <v>1</v>
      </c>
    </row>
    <row r="120" spans="1:3" ht="12.75">
      <c r="A120" s="81" t="s">
        <v>231</v>
      </c>
      <c r="B120" s="82"/>
      <c r="C120" s="82"/>
    </row>
    <row r="121" spans="1:3" ht="25.5">
      <c r="A121" s="81" t="s">
        <v>232</v>
      </c>
      <c r="B121" s="151" t="s">
        <v>428</v>
      </c>
      <c r="C121" s="82">
        <f>IF(B121="S",1,0)</f>
        <v>1</v>
      </c>
    </row>
    <row r="122" spans="1:3" ht="12.75">
      <c r="A122" s="81" t="s">
        <v>233</v>
      </c>
      <c r="B122" s="82"/>
      <c r="C122" s="82"/>
    </row>
    <row r="123" spans="1:3" ht="12.75">
      <c r="A123" s="81" t="s">
        <v>234</v>
      </c>
      <c r="B123" s="151" t="s">
        <v>428</v>
      </c>
      <c r="C123" s="82">
        <f>IF(B123="S",1,0)</f>
        <v>1</v>
      </c>
    </row>
    <row r="124" spans="1:3" ht="38.25" customHeight="1">
      <c r="A124" s="81" t="s">
        <v>235</v>
      </c>
      <c r="B124" s="151" t="s">
        <v>428</v>
      </c>
      <c r="C124" s="82">
        <f>IF(B124="S",1,0)</f>
        <v>1</v>
      </c>
    </row>
    <row r="125" spans="1:3" ht="36" customHeight="1">
      <c r="A125" s="81" t="s">
        <v>236</v>
      </c>
      <c r="B125" s="151" t="s">
        <v>428</v>
      </c>
      <c r="C125" s="82">
        <f>IF(B125="S",1,0)</f>
        <v>1</v>
      </c>
    </row>
    <row r="126" spans="1:3" ht="12.75">
      <c r="A126" s="98" t="s">
        <v>237</v>
      </c>
      <c r="B126" s="152" t="s">
        <v>427</v>
      </c>
      <c r="C126" s="82">
        <f>IF(B126="S",1,0)</f>
        <v>0</v>
      </c>
    </row>
    <row r="127" spans="1:3" ht="12.75">
      <c r="A127" s="89" t="s">
        <v>96</v>
      </c>
      <c r="B127" s="80"/>
      <c r="C127" s="80">
        <f>SUM(C79:C126)+C75</f>
        <v>43</v>
      </c>
    </row>
    <row r="128" spans="1:2" ht="12.75">
      <c r="A128" s="89" t="s">
        <v>97</v>
      </c>
      <c r="B128" s="80">
        <f>C24+C37+C48+C127+C75-C75</f>
        <v>64</v>
      </c>
    </row>
    <row r="129" spans="1:2" ht="12.75">
      <c r="A129" s="99" t="s">
        <v>238</v>
      </c>
      <c r="B129" s="80"/>
    </row>
    <row r="130" ht="12.75">
      <c r="B130" s="59"/>
    </row>
    <row r="131" ht="12.75">
      <c r="B131" s="59"/>
    </row>
    <row r="132" spans="1:2" ht="15">
      <c r="A132" s="100" t="s">
        <v>239</v>
      </c>
      <c r="B132" s="59"/>
    </row>
    <row r="133" spans="1:3" ht="12.75">
      <c r="A133" s="85" t="s">
        <v>240</v>
      </c>
      <c r="B133" s="86"/>
      <c r="C133" s="87"/>
    </row>
    <row r="134" spans="1:3" ht="51" customHeight="1">
      <c r="A134" s="81" t="s">
        <v>241</v>
      </c>
      <c r="B134" s="151" t="s">
        <v>427</v>
      </c>
      <c r="C134" s="82">
        <f aca="true" t="shared" si="7" ref="C134:C141">IF(B134="S",1,0)</f>
        <v>0</v>
      </c>
    </row>
    <row r="135" spans="1:3" ht="38.25" customHeight="1">
      <c r="A135" s="81" t="s">
        <v>242</v>
      </c>
      <c r="B135" s="151" t="s">
        <v>428</v>
      </c>
      <c r="C135" s="82">
        <f t="shared" si="7"/>
        <v>1</v>
      </c>
    </row>
    <row r="136" spans="1:3" ht="26.25" customHeight="1">
      <c r="A136" s="81" t="s">
        <v>243</v>
      </c>
      <c r="B136" s="151" t="s">
        <v>428</v>
      </c>
      <c r="C136" s="82">
        <f t="shared" si="7"/>
        <v>1</v>
      </c>
    </row>
    <row r="137" spans="1:3" ht="39" customHeight="1">
      <c r="A137" s="81" t="s">
        <v>244</v>
      </c>
      <c r="B137" s="151" t="s">
        <v>428</v>
      </c>
      <c r="C137" s="82">
        <f t="shared" si="7"/>
        <v>1</v>
      </c>
    </row>
    <row r="138" spans="1:3" ht="39" customHeight="1">
      <c r="A138" s="81" t="s">
        <v>245</v>
      </c>
      <c r="B138" s="151" t="s">
        <v>428</v>
      </c>
      <c r="C138" s="82">
        <f t="shared" si="7"/>
        <v>1</v>
      </c>
    </row>
    <row r="139" spans="1:3" ht="42" customHeight="1">
      <c r="A139" s="81" t="s">
        <v>246</v>
      </c>
      <c r="B139" s="151" t="s">
        <v>428</v>
      </c>
      <c r="C139" s="82">
        <f t="shared" si="7"/>
        <v>1</v>
      </c>
    </row>
    <row r="140" spans="1:3" ht="36.75" customHeight="1">
      <c r="A140" s="81" t="s">
        <v>247</v>
      </c>
      <c r="B140" s="151" t="s">
        <v>428</v>
      </c>
      <c r="C140" s="82">
        <f t="shared" si="7"/>
        <v>1</v>
      </c>
    </row>
    <row r="141" spans="1:3" ht="28.5" customHeight="1">
      <c r="A141" s="81" t="s">
        <v>248</v>
      </c>
      <c r="B141" s="151" t="s">
        <v>428</v>
      </c>
      <c r="C141" s="82">
        <f t="shared" si="7"/>
        <v>1</v>
      </c>
    </row>
    <row r="142" spans="1:3" ht="12.75">
      <c r="A142" s="89" t="s">
        <v>96</v>
      </c>
      <c r="B142" s="80"/>
      <c r="C142" s="82">
        <f>IF(A144=".",SUM(C134:C141),0)</f>
        <v>7</v>
      </c>
    </row>
    <row r="143" ht="12.75">
      <c r="B143" s="59"/>
    </row>
    <row r="144" spans="1:2" ht="35.25" customHeight="1">
      <c r="A144" s="91" t="str">
        <f>IF(C134+C135+C136+C137+C138+C139+C140+C141&lt;4,"Recurso limitante: de sumar menos del 50% de los items, se anulan los demás.",".")</f>
        <v>.</v>
      </c>
      <c r="B144" s="82"/>
    </row>
    <row r="145" ht="12.75">
      <c r="B145" s="59"/>
    </row>
    <row r="146" spans="1:3" ht="12.75">
      <c r="A146" s="85" t="s">
        <v>249</v>
      </c>
      <c r="B146" s="79"/>
      <c r="C146" s="80"/>
    </row>
    <row r="147" spans="1:3" ht="12.75">
      <c r="A147" s="81" t="s">
        <v>250</v>
      </c>
      <c r="B147" s="151" t="s">
        <v>428</v>
      </c>
      <c r="C147" s="82">
        <f aca="true" t="shared" si="8" ref="C147:C157">IF(B147="S",1,0)</f>
        <v>1</v>
      </c>
    </row>
    <row r="148" spans="1:3" ht="36.75" customHeight="1">
      <c r="A148" s="81" t="s">
        <v>251</v>
      </c>
      <c r="B148" s="151" t="s">
        <v>428</v>
      </c>
      <c r="C148" s="82">
        <f t="shared" si="8"/>
        <v>1</v>
      </c>
    </row>
    <row r="149" spans="1:3" ht="12.75">
      <c r="A149" s="81" t="s">
        <v>252</v>
      </c>
      <c r="B149" s="151" t="s">
        <v>428</v>
      </c>
      <c r="C149" s="82">
        <f t="shared" si="8"/>
        <v>1</v>
      </c>
    </row>
    <row r="150" spans="1:3" ht="39.75" customHeight="1">
      <c r="A150" s="81" t="s">
        <v>261</v>
      </c>
      <c r="B150" s="151" t="s">
        <v>428</v>
      </c>
      <c r="C150" s="82">
        <f t="shared" si="8"/>
        <v>1</v>
      </c>
    </row>
    <row r="151" spans="1:3" ht="28.5" customHeight="1">
      <c r="A151" s="81" t="s">
        <v>265</v>
      </c>
      <c r="B151" s="151" t="s">
        <v>427</v>
      </c>
      <c r="C151" s="82">
        <f t="shared" si="8"/>
        <v>0</v>
      </c>
    </row>
    <row r="152" spans="1:3" ht="66" customHeight="1">
      <c r="A152" s="81" t="s">
        <v>286</v>
      </c>
      <c r="B152" s="151" t="s">
        <v>428</v>
      </c>
      <c r="C152" s="82">
        <f t="shared" si="8"/>
        <v>1</v>
      </c>
    </row>
    <row r="153" spans="1:3" ht="38.25" customHeight="1">
      <c r="A153" s="81" t="s">
        <v>287</v>
      </c>
      <c r="B153" s="151" t="s">
        <v>428</v>
      </c>
      <c r="C153" s="82">
        <f t="shared" si="8"/>
        <v>1</v>
      </c>
    </row>
    <row r="154" spans="1:3" ht="67.5" customHeight="1">
      <c r="A154" s="81" t="s">
        <v>288</v>
      </c>
      <c r="B154" s="151" t="s">
        <v>428</v>
      </c>
      <c r="C154" s="82">
        <f t="shared" si="8"/>
        <v>1</v>
      </c>
    </row>
    <row r="155" spans="1:3" ht="12.75">
      <c r="A155" s="81" t="s">
        <v>162</v>
      </c>
      <c r="B155" s="151" t="s">
        <v>428</v>
      </c>
      <c r="C155" s="82">
        <f t="shared" si="8"/>
        <v>1</v>
      </c>
    </row>
    <row r="156" spans="1:3" ht="25.5" customHeight="1">
      <c r="A156" s="81" t="s">
        <v>289</v>
      </c>
      <c r="B156" s="151" t="s">
        <v>428</v>
      </c>
      <c r="C156" s="82">
        <f t="shared" si="8"/>
        <v>1</v>
      </c>
    </row>
    <row r="157" spans="1:3" ht="12.75">
      <c r="A157" s="81" t="s">
        <v>290</v>
      </c>
      <c r="B157" s="151" t="s">
        <v>428</v>
      </c>
      <c r="C157" s="82">
        <f t="shared" si="8"/>
        <v>1</v>
      </c>
    </row>
    <row r="158" spans="1:3" ht="12.75">
      <c r="A158" s="89" t="s">
        <v>96</v>
      </c>
      <c r="B158" s="80"/>
      <c r="C158" s="82">
        <f>IF(C147+C148+C149+C150+C151+C152&lt;6,0,SUM(C147:C157))</f>
        <v>0</v>
      </c>
    </row>
    <row r="159" spans="1:2" ht="30.75" customHeight="1">
      <c r="A159" s="91" t="str">
        <f>IF(C147+C148+C149+C150+C151+C152&lt;6,"Recursos Limitantes: De no poseerse alguno de los elementos de 82 a 87 se anula todo el subcapítulo",".")</f>
        <v>Recursos Limitantes: De no poseerse alguno de los elementos de 82 a 87 se anula todo el subcapítulo</v>
      </c>
      <c r="B159" s="82"/>
    </row>
    <row r="160" ht="12.75">
      <c r="B160" s="59"/>
    </row>
    <row r="161" spans="1:3" ht="12.75">
      <c r="A161" s="85" t="s">
        <v>291</v>
      </c>
      <c r="B161" s="79"/>
      <c r="C161" s="80"/>
    </row>
    <row r="162" spans="1:3" ht="34.5" customHeight="1">
      <c r="A162" s="81" t="s">
        <v>292</v>
      </c>
      <c r="B162" s="151" t="s">
        <v>428</v>
      </c>
      <c r="C162" s="82">
        <f aca="true" t="shared" si="9" ref="C162:C169">IF(B162="S",1,0)</f>
        <v>1</v>
      </c>
    </row>
    <row r="163" spans="1:3" ht="12.75">
      <c r="A163" s="81" t="s">
        <v>293</v>
      </c>
      <c r="B163" s="151" t="s">
        <v>428</v>
      </c>
      <c r="C163" s="82">
        <f t="shared" si="9"/>
        <v>1</v>
      </c>
    </row>
    <row r="164" spans="1:3" ht="27" customHeight="1">
      <c r="A164" s="81" t="s">
        <v>294</v>
      </c>
      <c r="B164" s="151" t="s">
        <v>428</v>
      </c>
      <c r="C164" s="82">
        <f t="shared" si="9"/>
        <v>1</v>
      </c>
    </row>
    <row r="165" spans="1:3" ht="12.75">
      <c r="A165" s="81" t="s">
        <v>295</v>
      </c>
      <c r="B165" s="151" t="s">
        <v>428</v>
      </c>
      <c r="C165" s="82">
        <f t="shared" si="9"/>
        <v>1</v>
      </c>
    </row>
    <row r="166" spans="1:3" ht="14.25" customHeight="1">
      <c r="A166" s="81" t="s">
        <v>296</v>
      </c>
      <c r="B166" s="151" t="s">
        <v>427</v>
      </c>
      <c r="C166" s="82">
        <f t="shared" si="9"/>
        <v>0</v>
      </c>
    </row>
    <row r="167" spans="1:3" ht="37.5" customHeight="1">
      <c r="A167" s="81" t="s">
        <v>297</v>
      </c>
      <c r="B167" s="151" t="s">
        <v>428</v>
      </c>
      <c r="C167" s="82">
        <f t="shared" si="9"/>
        <v>1</v>
      </c>
    </row>
    <row r="168" spans="1:3" ht="25.5" customHeight="1">
      <c r="A168" s="81" t="s">
        <v>298</v>
      </c>
      <c r="B168" s="151" t="s">
        <v>428</v>
      </c>
      <c r="C168" s="82">
        <f t="shared" si="9"/>
        <v>1</v>
      </c>
    </row>
    <row r="169" spans="1:3" ht="40.5" customHeight="1">
      <c r="A169" s="81" t="s">
        <v>299</v>
      </c>
      <c r="B169" s="151" t="s">
        <v>428</v>
      </c>
      <c r="C169" s="82">
        <f t="shared" si="9"/>
        <v>1</v>
      </c>
    </row>
    <row r="170" spans="1:3" ht="12.75">
      <c r="A170" s="101" t="s">
        <v>96</v>
      </c>
      <c r="B170" s="80"/>
      <c r="C170" s="82">
        <f>IF(A171=".",SUM(C162:C169),0)</f>
        <v>7</v>
      </c>
    </row>
    <row r="171" spans="1:2" ht="29.25" customHeight="1">
      <c r="A171" s="91" t="str">
        <f>IF(C162+C163+C164+C165+C166+C167+C168+C169&lt;4,"Recursos Limitantes: de sumar  menos del 50% se anula todo el subcapítulo",".")</f>
        <v>.</v>
      </c>
      <c r="B171" s="82"/>
    </row>
    <row r="172" ht="12.75">
      <c r="B172" s="59"/>
    </row>
    <row r="173" spans="1:3" ht="12.75">
      <c r="A173" s="85" t="s">
        <v>300</v>
      </c>
      <c r="B173" s="79"/>
      <c r="C173" s="80"/>
    </row>
    <row r="174" spans="1:3" ht="27" customHeight="1">
      <c r="A174" s="81" t="s">
        <v>301</v>
      </c>
      <c r="B174" s="151" t="s">
        <v>428</v>
      </c>
      <c r="C174" s="82">
        <f aca="true" t="shared" si="10" ref="C174:C210">IF(B174="S",1,0)</f>
        <v>1</v>
      </c>
    </row>
    <row r="175" spans="1:3" ht="25.5">
      <c r="A175" s="81" t="s">
        <v>302</v>
      </c>
      <c r="B175" s="151" t="s">
        <v>428</v>
      </c>
      <c r="C175" s="82">
        <f t="shared" si="10"/>
        <v>1</v>
      </c>
    </row>
    <row r="176" spans="1:3" ht="27" customHeight="1">
      <c r="A176" s="81" t="s">
        <v>303</v>
      </c>
      <c r="B176" s="151" t="s">
        <v>428</v>
      </c>
      <c r="C176" s="82">
        <f t="shared" si="10"/>
        <v>1</v>
      </c>
    </row>
    <row r="177" spans="1:3" ht="26.25" customHeight="1">
      <c r="A177" s="81" t="s">
        <v>304</v>
      </c>
      <c r="B177" s="151" t="s">
        <v>428</v>
      </c>
      <c r="C177" s="82">
        <f t="shared" si="10"/>
        <v>1</v>
      </c>
    </row>
    <row r="178" spans="1:3" ht="25.5">
      <c r="A178" s="81" t="s">
        <v>305</v>
      </c>
      <c r="B178" s="151" t="s">
        <v>428</v>
      </c>
      <c r="C178" s="82">
        <f t="shared" si="10"/>
        <v>1</v>
      </c>
    </row>
    <row r="179" spans="1:3" ht="28.5" customHeight="1">
      <c r="A179" s="81" t="s">
        <v>306</v>
      </c>
      <c r="B179" s="151" t="s">
        <v>428</v>
      </c>
      <c r="C179" s="82">
        <f t="shared" si="10"/>
        <v>1</v>
      </c>
    </row>
    <row r="180" spans="1:3" ht="12.75">
      <c r="A180" s="81" t="s">
        <v>307</v>
      </c>
      <c r="B180" s="151" t="s">
        <v>428</v>
      </c>
      <c r="C180" s="82">
        <f t="shared" si="10"/>
        <v>1</v>
      </c>
    </row>
    <row r="181" spans="1:3" ht="69.75" customHeight="1">
      <c r="A181" s="81" t="s">
        <v>253</v>
      </c>
      <c r="B181" s="151" t="s">
        <v>427</v>
      </c>
      <c r="C181" s="82">
        <f t="shared" si="10"/>
        <v>0</v>
      </c>
    </row>
    <row r="182" spans="1:3" ht="26.25" customHeight="1">
      <c r="A182" s="81" t="s">
        <v>254</v>
      </c>
      <c r="B182" s="151" t="s">
        <v>427</v>
      </c>
      <c r="C182" s="82">
        <f t="shared" si="10"/>
        <v>0</v>
      </c>
    </row>
    <row r="183" spans="1:3" ht="12.75">
      <c r="A183" s="81" t="s">
        <v>308</v>
      </c>
      <c r="B183" s="151" t="s">
        <v>428</v>
      </c>
      <c r="C183" s="82">
        <f t="shared" si="10"/>
        <v>1</v>
      </c>
    </row>
    <row r="184" spans="1:3" ht="12.75">
      <c r="A184" s="81" t="s">
        <v>309</v>
      </c>
      <c r="B184" s="151" t="s">
        <v>428</v>
      </c>
      <c r="C184" s="82">
        <f t="shared" si="10"/>
        <v>1</v>
      </c>
    </row>
    <row r="185" spans="1:3" ht="12.75">
      <c r="A185" s="81" t="s">
        <v>310</v>
      </c>
      <c r="B185" s="151" t="s">
        <v>428</v>
      </c>
      <c r="C185" s="82">
        <f t="shared" si="10"/>
        <v>1</v>
      </c>
    </row>
    <row r="186" spans="1:3" ht="13.5" customHeight="1">
      <c r="A186" s="81" t="s">
        <v>311</v>
      </c>
      <c r="B186" s="151" t="s">
        <v>428</v>
      </c>
      <c r="C186" s="82">
        <f t="shared" si="10"/>
        <v>1</v>
      </c>
    </row>
    <row r="187" spans="1:3" ht="12.75">
      <c r="A187" s="81" t="s">
        <v>312</v>
      </c>
      <c r="B187" s="151" t="s">
        <v>428</v>
      </c>
      <c r="C187" s="82">
        <f t="shared" si="10"/>
        <v>1</v>
      </c>
    </row>
    <row r="188" spans="1:3" ht="12.75">
      <c r="A188" s="81" t="s">
        <v>255</v>
      </c>
      <c r="B188" s="151" t="s">
        <v>427</v>
      </c>
      <c r="C188" s="82">
        <f t="shared" si="10"/>
        <v>0</v>
      </c>
    </row>
    <row r="189" spans="1:3" ht="12.75">
      <c r="A189" s="81" t="s">
        <v>313</v>
      </c>
      <c r="B189" s="151" t="s">
        <v>428</v>
      </c>
      <c r="C189" s="82">
        <f t="shared" si="10"/>
        <v>1</v>
      </c>
    </row>
    <row r="190" spans="1:3" ht="12.75">
      <c r="A190" s="81" t="s">
        <v>314</v>
      </c>
      <c r="B190" s="151" t="s">
        <v>428</v>
      </c>
      <c r="C190" s="82">
        <f t="shared" si="10"/>
        <v>1</v>
      </c>
    </row>
    <row r="191" spans="1:3" ht="26.25" customHeight="1">
      <c r="A191" s="81" t="s">
        <v>256</v>
      </c>
      <c r="B191" s="151" t="s">
        <v>428</v>
      </c>
      <c r="C191" s="82">
        <f t="shared" si="10"/>
        <v>1</v>
      </c>
    </row>
    <row r="192" spans="1:3" ht="12.75">
      <c r="A192" s="81" t="s">
        <v>315</v>
      </c>
      <c r="B192" s="151" t="s">
        <v>428</v>
      </c>
      <c r="C192" s="82">
        <f t="shared" si="10"/>
        <v>1</v>
      </c>
    </row>
    <row r="193" spans="1:3" ht="38.25">
      <c r="A193" s="81" t="s">
        <v>257</v>
      </c>
      <c r="B193" s="151" t="s">
        <v>428</v>
      </c>
      <c r="C193" s="82">
        <f t="shared" si="10"/>
        <v>1</v>
      </c>
    </row>
    <row r="194" spans="1:3" ht="12.75">
      <c r="A194" s="81" t="s">
        <v>316</v>
      </c>
      <c r="B194" s="151" t="s">
        <v>428</v>
      </c>
      <c r="C194" s="82">
        <f t="shared" si="10"/>
        <v>1</v>
      </c>
    </row>
    <row r="195" spans="1:3" ht="51">
      <c r="A195" s="81" t="s">
        <v>258</v>
      </c>
      <c r="B195" s="151" t="s">
        <v>428</v>
      </c>
      <c r="C195" s="82">
        <f t="shared" si="10"/>
        <v>1</v>
      </c>
    </row>
    <row r="196" spans="1:3" ht="12.75">
      <c r="A196" s="81" t="s">
        <v>317</v>
      </c>
      <c r="B196" s="151" t="s">
        <v>428</v>
      </c>
      <c r="C196" s="82">
        <f t="shared" si="10"/>
        <v>1</v>
      </c>
    </row>
    <row r="197" spans="1:3" ht="12.75">
      <c r="A197" s="81" t="s">
        <v>318</v>
      </c>
      <c r="B197" s="151" t="s">
        <v>428</v>
      </c>
      <c r="C197" s="82">
        <f t="shared" si="10"/>
        <v>1</v>
      </c>
    </row>
    <row r="198" spans="1:3" ht="12.75">
      <c r="A198" s="81" t="s">
        <v>319</v>
      </c>
      <c r="B198" s="151" t="s">
        <v>428</v>
      </c>
      <c r="C198" s="82">
        <f t="shared" si="10"/>
        <v>1</v>
      </c>
    </row>
    <row r="199" spans="1:3" ht="12.75">
      <c r="A199" s="81" t="s">
        <v>320</v>
      </c>
      <c r="B199" s="151" t="s">
        <v>427</v>
      </c>
      <c r="C199" s="82">
        <f t="shared" si="10"/>
        <v>0</v>
      </c>
    </row>
    <row r="200" spans="1:3" ht="25.5" customHeight="1">
      <c r="A200" s="81" t="s">
        <v>321</v>
      </c>
      <c r="B200" s="151" t="s">
        <v>428</v>
      </c>
      <c r="C200" s="82">
        <f t="shared" si="10"/>
        <v>1</v>
      </c>
    </row>
    <row r="201" spans="1:3" ht="26.25" customHeight="1">
      <c r="A201" s="81" t="s">
        <v>259</v>
      </c>
      <c r="B201" s="151" t="s">
        <v>428</v>
      </c>
      <c r="C201" s="82">
        <f t="shared" si="10"/>
        <v>1</v>
      </c>
    </row>
    <row r="202" spans="1:3" ht="12.75">
      <c r="A202" s="81" t="s">
        <v>322</v>
      </c>
      <c r="B202" s="151" t="s">
        <v>428</v>
      </c>
      <c r="C202" s="82">
        <f t="shared" si="10"/>
        <v>1</v>
      </c>
    </row>
    <row r="203" spans="1:3" ht="12.75">
      <c r="A203" s="81" t="s">
        <v>323</v>
      </c>
      <c r="B203" s="151" t="s">
        <v>428</v>
      </c>
      <c r="C203" s="82">
        <f t="shared" si="10"/>
        <v>1</v>
      </c>
    </row>
    <row r="204" spans="1:3" ht="24.75" customHeight="1">
      <c r="A204" s="81" t="s">
        <v>387</v>
      </c>
      <c r="B204" s="151" t="s">
        <v>428</v>
      </c>
      <c r="C204" s="82">
        <f t="shared" si="10"/>
        <v>1</v>
      </c>
    </row>
    <row r="205" spans="1:3" ht="12.75">
      <c r="A205" s="81" t="s">
        <v>388</v>
      </c>
      <c r="B205" s="151" t="s">
        <v>427</v>
      </c>
      <c r="C205" s="82">
        <f t="shared" si="10"/>
        <v>0</v>
      </c>
    </row>
    <row r="206" spans="1:3" ht="12.75">
      <c r="A206" s="81" t="s">
        <v>389</v>
      </c>
      <c r="B206" s="151" t="s">
        <v>428</v>
      </c>
      <c r="C206" s="82">
        <f t="shared" si="10"/>
        <v>1</v>
      </c>
    </row>
    <row r="207" spans="1:3" ht="12.75">
      <c r="A207" s="81" t="s">
        <v>390</v>
      </c>
      <c r="B207" s="151" t="s">
        <v>428</v>
      </c>
      <c r="C207" s="82">
        <f t="shared" si="10"/>
        <v>1</v>
      </c>
    </row>
    <row r="208" spans="1:3" ht="25.5" customHeight="1">
      <c r="A208" s="81" t="s">
        <v>260</v>
      </c>
      <c r="B208" s="151" t="s">
        <v>428</v>
      </c>
      <c r="C208" s="82">
        <f t="shared" si="10"/>
        <v>1</v>
      </c>
    </row>
    <row r="209" spans="1:3" ht="25.5" customHeight="1">
      <c r="A209" s="81" t="s">
        <v>391</v>
      </c>
      <c r="B209" s="151" t="s">
        <v>428</v>
      </c>
      <c r="C209" s="82">
        <f t="shared" si="10"/>
        <v>1</v>
      </c>
    </row>
    <row r="210" spans="1:3" ht="27.75" customHeight="1">
      <c r="A210" s="81" t="s">
        <v>392</v>
      </c>
      <c r="B210" s="151" t="s">
        <v>428</v>
      </c>
      <c r="C210" s="82">
        <f t="shared" si="10"/>
        <v>1</v>
      </c>
    </row>
    <row r="211" spans="1:3" ht="12.75">
      <c r="A211" s="84" t="s">
        <v>98</v>
      </c>
      <c r="B211" s="82"/>
      <c r="C211" s="82">
        <f>SUM(C174:C210)</f>
        <v>32</v>
      </c>
    </row>
    <row r="212" spans="1:3" ht="12.75">
      <c r="A212" s="84" t="s">
        <v>99</v>
      </c>
      <c r="B212" s="82">
        <f>C211+C170+C158+C142</f>
        <v>46</v>
      </c>
      <c r="C212" s="82"/>
    </row>
    <row r="213" spans="1:3" ht="3" customHeight="1">
      <c r="A213" s="81"/>
      <c r="B213" s="82"/>
      <c r="C213" s="82"/>
    </row>
    <row r="214" spans="1:3" ht="12.75">
      <c r="A214" s="102" t="s">
        <v>393</v>
      </c>
      <c r="B214" s="82"/>
      <c r="C214" s="82"/>
    </row>
    <row r="215" spans="1:3" ht="12.75">
      <c r="A215" s="81"/>
      <c r="B215" s="82"/>
      <c r="C215" s="82"/>
    </row>
    <row r="216" spans="1:3" ht="15">
      <c r="A216" s="103" t="s">
        <v>394</v>
      </c>
      <c r="B216" s="82"/>
      <c r="C216" s="82"/>
    </row>
    <row r="217" spans="1:3" ht="12.75">
      <c r="A217" s="92" t="s">
        <v>240</v>
      </c>
      <c r="B217" s="104"/>
      <c r="C217" s="104"/>
    </row>
    <row r="218" spans="1:3" ht="39.75" customHeight="1">
      <c r="A218" s="81" t="s">
        <v>395</v>
      </c>
      <c r="B218" s="151" t="s">
        <v>428</v>
      </c>
      <c r="C218" s="82">
        <f aca="true" t="shared" si="11" ref="C218:C226">IF(B218="S",1,0)</f>
        <v>1</v>
      </c>
    </row>
    <row r="219" spans="1:3" ht="25.5" customHeight="1">
      <c r="A219" s="81" t="s">
        <v>396</v>
      </c>
      <c r="B219" s="151" t="s">
        <v>428</v>
      </c>
      <c r="C219" s="82">
        <f t="shared" si="11"/>
        <v>1</v>
      </c>
    </row>
    <row r="220" spans="1:3" ht="12.75">
      <c r="A220" s="81" t="s">
        <v>397</v>
      </c>
      <c r="B220" s="151" t="s">
        <v>427</v>
      </c>
      <c r="C220" s="82">
        <f t="shared" si="11"/>
        <v>0</v>
      </c>
    </row>
    <row r="221" spans="1:3" ht="37.5" customHeight="1">
      <c r="A221" s="81" t="s">
        <v>398</v>
      </c>
      <c r="B221" s="151" t="s">
        <v>428</v>
      </c>
      <c r="C221" s="82">
        <f t="shared" si="11"/>
        <v>1</v>
      </c>
    </row>
    <row r="222" spans="1:3" ht="12.75">
      <c r="A222" s="81" t="s">
        <v>399</v>
      </c>
      <c r="B222" s="151" t="s">
        <v>427</v>
      </c>
      <c r="C222" s="82">
        <f t="shared" si="11"/>
        <v>0</v>
      </c>
    </row>
    <row r="223" spans="1:3" ht="28.5" customHeight="1">
      <c r="A223" s="81" t="s">
        <v>400</v>
      </c>
      <c r="B223" s="151" t="s">
        <v>427</v>
      </c>
      <c r="C223" s="82">
        <f t="shared" si="11"/>
        <v>0</v>
      </c>
    </row>
    <row r="224" spans="1:3" ht="54.75" customHeight="1">
      <c r="A224" s="81" t="s">
        <v>401</v>
      </c>
      <c r="B224" s="151" t="s">
        <v>428</v>
      </c>
      <c r="C224" s="82">
        <f t="shared" si="11"/>
        <v>1</v>
      </c>
    </row>
    <row r="225" spans="1:3" ht="29.25" customHeight="1">
      <c r="A225" s="81" t="s">
        <v>402</v>
      </c>
      <c r="B225" s="151" t="s">
        <v>427</v>
      </c>
      <c r="C225" s="82">
        <f t="shared" si="11"/>
        <v>0</v>
      </c>
    </row>
    <row r="226" spans="1:3" ht="28.5" customHeight="1">
      <c r="A226" s="81" t="s">
        <v>403</v>
      </c>
      <c r="B226" s="151" t="s">
        <v>427</v>
      </c>
      <c r="C226" s="82">
        <f t="shared" si="11"/>
        <v>0</v>
      </c>
    </row>
    <row r="227" spans="1:3" ht="12.75">
      <c r="A227" s="84" t="s">
        <v>26</v>
      </c>
      <c r="B227" s="82"/>
      <c r="C227" s="82">
        <f>SUM(C218:C226)</f>
        <v>4</v>
      </c>
    </row>
    <row r="228" spans="1:3" ht="36" customHeight="1">
      <c r="A228" s="91" t="str">
        <f>IF(C218+C220&lt;2,"Recursos limitantes por no cumplirse los puntos 138 y 140 ",".")</f>
        <v>Recursos limitantes por no cumplirse los puntos 138 y 140 </v>
      </c>
      <c r="B228" s="82"/>
      <c r="C228" s="82"/>
    </row>
    <row r="229" spans="1:3" ht="12.75">
      <c r="A229" s="81"/>
      <c r="B229" s="82"/>
      <c r="C229" s="82"/>
    </row>
    <row r="230" spans="1:3" ht="12.75">
      <c r="A230" s="92" t="s">
        <v>404</v>
      </c>
      <c r="B230" s="104"/>
      <c r="C230" s="104"/>
    </row>
    <row r="231" spans="1:3" ht="50.25" customHeight="1">
      <c r="A231" s="81" t="s">
        <v>405</v>
      </c>
      <c r="B231" s="151" t="s">
        <v>428</v>
      </c>
      <c r="C231" s="82">
        <f aca="true" t="shared" si="12" ref="C231:C244">IF(B231="S",1,0)</f>
        <v>1</v>
      </c>
    </row>
    <row r="232" spans="1:3" ht="42.75" customHeight="1">
      <c r="A232" s="81" t="s">
        <v>406</v>
      </c>
      <c r="B232" s="151" t="s">
        <v>428</v>
      </c>
      <c r="C232" s="82">
        <f t="shared" si="12"/>
        <v>1</v>
      </c>
    </row>
    <row r="233" spans="1:3" ht="42.75" customHeight="1">
      <c r="A233" s="81" t="s">
        <v>64</v>
      </c>
      <c r="B233" s="151" t="s">
        <v>428</v>
      </c>
      <c r="C233" s="82">
        <f t="shared" si="12"/>
        <v>1</v>
      </c>
    </row>
    <row r="234" spans="1:3" ht="27" customHeight="1">
      <c r="A234" s="81" t="s">
        <v>65</v>
      </c>
      <c r="B234" s="151" t="s">
        <v>428</v>
      </c>
      <c r="C234" s="82">
        <f t="shared" si="12"/>
        <v>1</v>
      </c>
    </row>
    <row r="235" spans="1:3" ht="27" customHeight="1">
      <c r="A235" s="81" t="s">
        <v>66</v>
      </c>
      <c r="B235" s="151" t="s">
        <v>428</v>
      </c>
      <c r="C235" s="82">
        <f t="shared" si="12"/>
        <v>1</v>
      </c>
    </row>
    <row r="236" spans="1:3" ht="27" customHeight="1">
      <c r="A236" s="81" t="s">
        <v>67</v>
      </c>
      <c r="B236" s="151" t="s">
        <v>428</v>
      </c>
      <c r="C236" s="82">
        <f t="shared" si="12"/>
        <v>1</v>
      </c>
    </row>
    <row r="237" spans="1:3" ht="27" customHeight="1">
      <c r="A237" s="81" t="s">
        <v>407</v>
      </c>
      <c r="B237" s="151" t="s">
        <v>428</v>
      </c>
      <c r="C237" s="82">
        <f t="shared" si="12"/>
        <v>1</v>
      </c>
    </row>
    <row r="238" spans="1:3" ht="27" customHeight="1">
      <c r="A238" s="81" t="s">
        <v>408</v>
      </c>
      <c r="B238" s="151" t="s">
        <v>428</v>
      </c>
      <c r="C238" s="82">
        <f t="shared" si="12"/>
        <v>1</v>
      </c>
    </row>
    <row r="239" spans="1:3" ht="27" customHeight="1">
      <c r="A239" s="81" t="s">
        <v>409</v>
      </c>
      <c r="B239" s="151" t="s">
        <v>428</v>
      </c>
      <c r="C239" s="82">
        <f t="shared" si="12"/>
        <v>1</v>
      </c>
    </row>
    <row r="240" spans="1:3" ht="27" customHeight="1">
      <c r="A240" s="81" t="s">
        <v>410</v>
      </c>
      <c r="B240" s="151" t="s">
        <v>428</v>
      </c>
      <c r="C240" s="82">
        <f t="shared" si="12"/>
        <v>1</v>
      </c>
    </row>
    <row r="241" spans="1:3" ht="27" customHeight="1">
      <c r="A241" s="81" t="s">
        <v>411</v>
      </c>
      <c r="B241" s="151" t="s">
        <v>428</v>
      </c>
      <c r="C241" s="82">
        <f t="shared" si="12"/>
        <v>1</v>
      </c>
    </row>
    <row r="242" spans="1:3" ht="27" customHeight="1">
      <c r="A242" s="81" t="s">
        <v>68</v>
      </c>
      <c r="B242" s="151" t="s">
        <v>428</v>
      </c>
      <c r="C242" s="82">
        <f t="shared" si="12"/>
        <v>1</v>
      </c>
    </row>
    <row r="243" spans="1:3" ht="27" customHeight="1">
      <c r="A243" s="81" t="s">
        <v>412</v>
      </c>
      <c r="B243" s="151" t="s">
        <v>427</v>
      </c>
      <c r="C243" s="82">
        <f t="shared" si="12"/>
        <v>0</v>
      </c>
    </row>
    <row r="244" spans="1:3" ht="27" customHeight="1">
      <c r="A244" s="81" t="s">
        <v>413</v>
      </c>
      <c r="B244" s="151" t="s">
        <v>427</v>
      </c>
      <c r="C244" s="82">
        <f t="shared" si="12"/>
        <v>0</v>
      </c>
    </row>
    <row r="245" spans="1:3" ht="12.75">
      <c r="A245" s="105" t="s">
        <v>96</v>
      </c>
      <c r="B245" s="59"/>
      <c r="C245" s="59">
        <f>IF(C231+C232+C233+C234+C235+C236&lt;6,0,SUM(C231:C244))</f>
        <v>12</v>
      </c>
    </row>
    <row r="246" spans="1:2" ht="33.75" customHeight="1">
      <c r="A246" s="91" t="str">
        <f>IF(C231+C232+C233+C234+C235+C236&lt;6,"Recursos limitantes: De no cumplirse los items de 147 a 152 se anula todo el subcapítulo",".")</f>
        <v>.</v>
      </c>
      <c r="B246" s="82"/>
    </row>
    <row r="247" ht="12.75">
      <c r="B247" s="59"/>
    </row>
    <row r="248" spans="1:3" ht="12.75">
      <c r="A248" s="85" t="s">
        <v>414</v>
      </c>
      <c r="B248" s="86"/>
      <c r="C248" s="87"/>
    </row>
    <row r="249" spans="1:3" ht="28.5" customHeight="1">
      <c r="A249" s="81" t="s">
        <v>415</v>
      </c>
      <c r="B249" s="151" t="s">
        <v>428</v>
      </c>
      <c r="C249" s="82">
        <f aca="true" t="shared" si="13" ref="C249:C258">IF(B249="S",1,0)</f>
        <v>1</v>
      </c>
    </row>
    <row r="250" spans="1:3" ht="28.5" customHeight="1">
      <c r="A250" s="81" t="s">
        <v>419</v>
      </c>
      <c r="B250" s="151" t="s">
        <v>428</v>
      </c>
      <c r="C250" s="82">
        <f t="shared" si="13"/>
        <v>1</v>
      </c>
    </row>
    <row r="251" spans="1:3" ht="28.5" customHeight="1">
      <c r="A251" s="81" t="s">
        <v>429</v>
      </c>
      <c r="B251" s="151" t="s">
        <v>428</v>
      </c>
      <c r="C251" s="82">
        <f t="shared" si="13"/>
        <v>1</v>
      </c>
    </row>
    <row r="252" spans="1:3" ht="37.5" customHeight="1">
      <c r="A252" s="81" t="s">
        <v>430</v>
      </c>
      <c r="B252" s="151" t="s">
        <v>427</v>
      </c>
      <c r="C252" s="82">
        <f t="shared" si="13"/>
        <v>0</v>
      </c>
    </row>
    <row r="253" spans="1:3" ht="12.75">
      <c r="A253" s="81" t="s">
        <v>431</v>
      </c>
      <c r="B253" s="151" t="s">
        <v>427</v>
      </c>
      <c r="C253" s="82">
        <f t="shared" si="13"/>
        <v>0</v>
      </c>
    </row>
    <row r="254" spans="1:3" ht="55.5" customHeight="1">
      <c r="A254" s="81" t="s">
        <v>432</v>
      </c>
      <c r="B254" s="151" t="s">
        <v>427</v>
      </c>
      <c r="C254" s="82">
        <f t="shared" si="13"/>
        <v>0</v>
      </c>
    </row>
    <row r="255" spans="1:3" ht="26.25" customHeight="1">
      <c r="A255" s="81" t="s">
        <v>433</v>
      </c>
      <c r="B255" s="151" t="s">
        <v>428</v>
      </c>
      <c r="C255" s="82">
        <f t="shared" si="13"/>
        <v>1</v>
      </c>
    </row>
    <row r="256" spans="1:3" ht="26.25" customHeight="1">
      <c r="A256" s="81" t="s">
        <v>434</v>
      </c>
      <c r="B256" s="151" t="s">
        <v>428</v>
      </c>
      <c r="C256" s="82">
        <f t="shared" si="13"/>
        <v>1</v>
      </c>
    </row>
    <row r="257" spans="1:3" ht="26.25" customHeight="1">
      <c r="A257" s="81" t="s">
        <v>435</v>
      </c>
      <c r="B257" s="151" t="s">
        <v>428</v>
      </c>
      <c r="C257" s="82">
        <f t="shared" si="13"/>
        <v>1</v>
      </c>
    </row>
    <row r="258" spans="1:3" ht="26.25" customHeight="1">
      <c r="A258" s="81" t="s">
        <v>436</v>
      </c>
      <c r="B258" s="151" t="s">
        <v>428</v>
      </c>
      <c r="C258" s="82">
        <f t="shared" si="13"/>
        <v>1</v>
      </c>
    </row>
    <row r="259" spans="1:3" ht="12.75">
      <c r="A259" s="89" t="s">
        <v>96</v>
      </c>
      <c r="B259" s="80"/>
      <c r="C259" s="82">
        <f>SUM(C249:C258)</f>
        <v>7</v>
      </c>
    </row>
    <row r="260" spans="1:2" ht="12.75">
      <c r="A260" s="99" t="s">
        <v>437</v>
      </c>
      <c r="B260" s="80"/>
    </row>
    <row r="261" ht="12.75">
      <c r="B261" s="59"/>
    </row>
    <row r="262" spans="1:3" ht="12.75">
      <c r="A262" s="85" t="s">
        <v>438</v>
      </c>
      <c r="B262" s="86"/>
      <c r="C262" s="87"/>
    </row>
    <row r="263" spans="1:3" ht="51" customHeight="1">
      <c r="A263" s="81" t="s">
        <v>439</v>
      </c>
      <c r="B263" s="151" t="s">
        <v>427</v>
      </c>
      <c r="C263" s="82">
        <f aca="true" t="shared" si="14" ref="C263:C271">IF(B263="S",1,0)</f>
        <v>0</v>
      </c>
    </row>
    <row r="264" spans="1:3" ht="24.75" customHeight="1">
      <c r="A264" s="81" t="s">
        <v>440</v>
      </c>
      <c r="B264" s="151" t="s">
        <v>428</v>
      </c>
      <c r="C264" s="82">
        <f t="shared" si="14"/>
        <v>1</v>
      </c>
    </row>
    <row r="265" spans="1:3" ht="24" customHeight="1">
      <c r="A265" s="81" t="s">
        <v>441</v>
      </c>
      <c r="B265" s="151" t="s">
        <v>427</v>
      </c>
      <c r="C265" s="82">
        <f t="shared" si="14"/>
        <v>0</v>
      </c>
    </row>
    <row r="266" spans="1:3" ht="12.75">
      <c r="A266" s="81" t="s">
        <v>442</v>
      </c>
      <c r="B266" s="151" t="s">
        <v>427</v>
      </c>
      <c r="C266" s="82">
        <f t="shared" si="14"/>
        <v>0</v>
      </c>
    </row>
    <row r="267" spans="1:3" ht="12.75">
      <c r="A267" s="81" t="s">
        <v>443</v>
      </c>
      <c r="B267" s="151" t="s">
        <v>428</v>
      </c>
      <c r="C267" s="82">
        <f t="shared" si="14"/>
        <v>1</v>
      </c>
    </row>
    <row r="268" spans="1:3" ht="12.75">
      <c r="A268" s="81" t="s">
        <v>444</v>
      </c>
      <c r="B268" s="151" t="s">
        <v>428</v>
      </c>
      <c r="C268" s="82">
        <f t="shared" si="14"/>
        <v>1</v>
      </c>
    </row>
    <row r="269" spans="1:3" ht="12.75">
      <c r="A269" s="81" t="s">
        <v>445</v>
      </c>
      <c r="B269" s="151" t="s">
        <v>428</v>
      </c>
      <c r="C269" s="82">
        <f t="shared" si="14"/>
        <v>1</v>
      </c>
    </row>
    <row r="270" spans="1:3" ht="12.75">
      <c r="A270" s="81" t="s">
        <v>446</v>
      </c>
      <c r="B270" s="151" t="s">
        <v>428</v>
      </c>
      <c r="C270" s="82">
        <f t="shared" si="14"/>
        <v>1</v>
      </c>
    </row>
    <row r="271" spans="1:3" ht="12.75">
      <c r="A271" s="81" t="s">
        <v>447</v>
      </c>
      <c r="B271" s="151" t="s">
        <v>428</v>
      </c>
      <c r="C271" s="82">
        <f t="shared" si="14"/>
        <v>1</v>
      </c>
    </row>
    <row r="272" spans="1:3" ht="12.75">
      <c r="A272" s="89" t="s">
        <v>96</v>
      </c>
      <c r="B272" s="80"/>
      <c r="C272" s="82">
        <f>SUM(C263:C271)</f>
        <v>6</v>
      </c>
    </row>
    <row r="273" spans="1:3" ht="25.5" customHeight="1">
      <c r="A273" s="102" t="s">
        <v>448</v>
      </c>
      <c r="B273" s="82"/>
      <c r="C273" s="73"/>
    </row>
    <row r="274" spans="1:2" ht="12.75">
      <c r="A274" s="89" t="s">
        <v>27</v>
      </c>
      <c r="B274" s="80">
        <f>C272+C259+C245+C227</f>
        <v>29</v>
      </c>
    </row>
    <row r="275" ht="12.75">
      <c r="B275" s="59"/>
    </row>
    <row r="276" ht="12.75">
      <c r="B276" s="59"/>
    </row>
    <row r="277" spans="1:2" ht="15">
      <c r="A277" s="100" t="s">
        <v>449</v>
      </c>
      <c r="B277" s="59"/>
    </row>
    <row r="278" spans="1:3" ht="12.75">
      <c r="A278" s="85" t="s">
        <v>450</v>
      </c>
      <c r="B278" s="86"/>
      <c r="C278" s="87"/>
    </row>
    <row r="279" spans="1:3" ht="29.25" customHeight="1">
      <c r="A279" s="81" t="s">
        <v>451</v>
      </c>
      <c r="B279" s="151" t="s">
        <v>428</v>
      </c>
      <c r="C279" s="82">
        <f aca="true" t="shared" si="15" ref="C279:C287">IF(B279="S",1,0)</f>
        <v>1</v>
      </c>
    </row>
    <row r="280" spans="1:3" ht="12.75">
      <c r="A280" s="81" t="s">
        <v>452</v>
      </c>
      <c r="B280" s="151" t="s">
        <v>428</v>
      </c>
      <c r="C280" s="82">
        <f t="shared" si="15"/>
        <v>1</v>
      </c>
    </row>
    <row r="281" spans="1:3" ht="25.5" customHeight="1">
      <c r="A281" s="81" t="s">
        <v>453</v>
      </c>
      <c r="B281" s="151" t="s">
        <v>428</v>
      </c>
      <c r="C281" s="82">
        <f t="shared" si="15"/>
        <v>1</v>
      </c>
    </row>
    <row r="282" spans="1:3" ht="27" customHeight="1">
      <c r="A282" s="81" t="s">
        <v>454</v>
      </c>
      <c r="B282" s="151" t="s">
        <v>428</v>
      </c>
      <c r="C282" s="82">
        <f t="shared" si="15"/>
        <v>1</v>
      </c>
    </row>
    <row r="283" spans="1:3" ht="38.25" customHeight="1">
      <c r="A283" s="81" t="s">
        <v>455</v>
      </c>
      <c r="B283" s="151" t="s">
        <v>428</v>
      </c>
      <c r="C283" s="82">
        <f t="shared" si="15"/>
        <v>1</v>
      </c>
    </row>
    <row r="284" spans="1:3" ht="27" customHeight="1">
      <c r="A284" s="81" t="s">
        <v>0</v>
      </c>
      <c r="B284" s="151" t="s">
        <v>428</v>
      </c>
      <c r="C284" s="82">
        <f t="shared" si="15"/>
        <v>1</v>
      </c>
    </row>
    <row r="285" spans="1:3" ht="25.5" customHeight="1">
      <c r="A285" s="81" t="s">
        <v>1</v>
      </c>
      <c r="B285" s="151" t="s">
        <v>428</v>
      </c>
      <c r="C285" s="82">
        <f t="shared" si="15"/>
        <v>1</v>
      </c>
    </row>
    <row r="286" spans="1:3" ht="25.5" customHeight="1">
      <c r="A286" s="81" t="s">
        <v>2</v>
      </c>
      <c r="B286" s="151" t="s">
        <v>428</v>
      </c>
      <c r="C286" s="82">
        <f t="shared" si="15"/>
        <v>1</v>
      </c>
    </row>
    <row r="287" spans="1:3" ht="24" customHeight="1">
      <c r="A287" s="81" t="s">
        <v>3</v>
      </c>
      <c r="B287" s="151" t="s">
        <v>428</v>
      </c>
      <c r="C287" s="82">
        <f t="shared" si="15"/>
        <v>1</v>
      </c>
    </row>
    <row r="288" ht="6.75" customHeight="1">
      <c r="B288" s="59"/>
    </row>
    <row r="289" spans="1:3" ht="12.75">
      <c r="A289" s="89" t="s">
        <v>96</v>
      </c>
      <c r="B289" s="80"/>
      <c r="C289" s="82">
        <f>SUM(C279:C288)</f>
        <v>9</v>
      </c>
    </row>
    <row r="290" spans="1:2" ht="27" customHeight="1">
      <c r="A290" s="106" t="s">
        <v>4</v>
      </c>
      <c r="B290" s="59"/>
    </row>
    <row r="291" ht="12.75">
      <c r="B291" s="59"/>
    </row>
    <row r="292" spans="1:3" ht="12.75">
      <c r="A292" s="85" t="s">
        <v>5</v>
      </c>
      <c r="B292" s="86"/>
      <c r="C292" s="87"/>
    </row>
    <row r="293" spans="1:3" ht="29.25" customHeight="1">
      <c r="A293" s="81" t="s">
        <v>6</v>
      </c>
      <c r="B293" s="151" t="s">
        <v>428</v>
      </c>
      <c r="C293" s="82">
        <f aca="true" t="shared" si="16" ref="C293:C304">IF(B293="S",1,0)</f>
        <v>1</v>
      </c>
    </row>
    <row r="294" spans="1:3" ht="27.75" customHeight="1">
      <c r="A294" s="81" t="s">
        <v>7</v>
      </c>
      <c r="B294" s="151" t="s">
        <v>428</v>
      </c>
      <c r="C294" s="82">
        <f t="shared" si="16"/>
        <v>1</v>
      </c>
    </row>
    <row r="295" spans="1:3" ht="27.75" customHeight="1">
      <c r="A295" s="81" t="s">
        <v>8</v>
      </c>
      <c r="B295" s="151" t="s">
        <v>428</v>
      </c>
      <c r="C295" s="82">
        <f t="shared" si="16"/>
        <v>1</v>
      </c>
    </row>
    <row r="296" spans="1:3" ht="12.75">
      <c r="A296" s="81" t="s">
        <v>9</v>
      </c>
      <c r="B296" s="151" t="s">
        <v>428</v>
      </c>
      <c r="C296" s="82">
        <f t="shared" si="16"/>
        <v>1</v>
      </c>
    </row>
    <row r="297" spans="1:3" ht="24.75" customHeight="1">
      <c r="A297" s="81" t="s">
        <v>10</v>
      </c>
      <c r="B297" s="151" t="s">
        <v>428</v>
      </c>
      <c r="C297" s="82">
        <f t="shared" si="16"/>
        <v>1</v>
      </c>
    </row>
    <row r="298" spans="1:3" ht="12.75">
      <c r="A298" s="81" t="s">
        <v>11</v>
      </c>
      <c r="B298" s="151" t="s">
        <v>428</v>
      </c>
      <c r="C298" s="82">
        <f t="shared" si="16"/>
        <v>1</v>
      </c>
    </row>
    <row r="299" spans="1:3" ht="25.5">
      <c r="A299" s="81" t="s">
        <v>12</v>
      </c>
      <c r="B299" s="151" t="s">
        <v>427</v>
      </c>
      <c r="C299" s="82">
        <f t="shared" si="16"/>
        <v>0</v>
      </c>
    </row>
    <row r="300" spans="1:3" ht="25.5">
      <c r="A300" s="81" t="s">
        <v>13</v>
      </c>
      <c r="B300" s="151" t="s">
        <v>428</v>
      </c>
      <c r="C300" s="82">
        <f t="shared" si="16"/>
        <v>1</v>
      </c>
    </row>
    <row r="301" spans="1:3" ht="25.5">
      <c r="A301" s="81" t="s">
        <v>14</v>
      </c>
      <c r="B301" s="151" t="s">
        <v>428</v>
      </c>
      <c r="C301" s="82">
        <f t="shared" si="16"/>
        <v>1</v>
      </c>
    </row>
    <row r="302" spans="1:3" ht="12.75">
      <c r="A302" s="81" t="s">
        <v>15</v>
      </c>
      <c r="B302" s="151" t="s">
        <v>428</v>
      </c>
      <c r="C302" s="82">
        <f t="shared" si="16"/>
        <v>1</v>
      </c>
    </row>
    <row r="303" spans="1:3" ht="28.5" customHeight="1">
      <c r="A303" s="81" t="s">
        <v>16</v>
      </c>
      <c r="B303" s="151" t="s">
        <v>427</v>
      </c>
      <c r="C303" s="82">
        <f t="shared" si="16"/>
        <v>0</v>
      </c>
    </row>
    <row r="304" spans="1:3" ht="27" customHeight="1">
      <c r="A304" s="81" t="s">
        <v>17</v>
      </c>
      <c r="B304" s="151" t="s">
        <v>428</v>
      </c>
      <c r="C304" s="82">
        <f t="shared" si="16"/>
        <v>1</v>
      </c>
    </row>
    <row r="305" spans="1:3" ht="12.75">
      <c r="A305" s="89" t="s">
        <v>96</v>
      </c>
      <c r="B305" s="80"/>
      <c r="C305" s="82">
        <f>SUM(C293:C304)</f>
        <v>10</v>
      </c>
    </row>
    <row r="306" spans="1:2" ht="26.25" customHeight="1">
      <c r="A306" s="106" t="s">
        <v>4</v>
      </c>
      <c r="B306" s="59"/>
    </row>
    <row r="307" ht="12.75">
      <c r="B307" s="59"/>
    </row>
    <row r="308" spans="1:3" ht="12.75">
      <c r="A308" s="85" t="s">
        <v>18</v>
      </c>
      <c r="B308" s="86"/>
      <c r="C308" s="87"/>
    </row>
    <row r="309" spans="1:3" ht="12.75">
      <c r="A309" s="81" t="s">
        <v>19</v>
      </c>
      <c r="B309" s="151" t="s">
        <v>428</v>
      </c>
      <c r="C309" s="82">
        <f aca="true" t="shared" si="17" ref="C309:C316">IF(B309="S",1,0)</f>
        <v>1</v>
      </c>
    </row>
    <row r="310" spans="1:3" ht="12.75">
      <c r="A310" s="81" t="s">
        <v>20</v>
      </c>
      <c r="B310" s="151" t="s">
        <v>428</v>
      </c>
      <c r="C310" s="82">
        <f t="shared" si="17"/>
        <v>1</v>
      </c>
    </row>
    <row r="311" spans="1:3" ht="12.75">
      <c r="A311" s="81" t="s">
        <v>21</v>
      </c>
      <c r="B311" s="151" t="s">
        <v>428</v>
      </c>
      <c r="C311" s="82">
        <f t="shared" si="17"/>
        <v>1</v>
      </c>
    </row>
    <row r="312" spans="1:3" ht="24.75" customHeight="1">
      <c r="A312" s="81" t="s">
        <v>22</v>
      </c>
      <c r="B312" s="151" t="s">
        <v>428</v>
      </c>
      <c r="C312" s="82">
        <f t="shared" si="17"/>
        <v>1</v>
      </c>
    </row>
    <row r="313" spans="1:3" ht="29.25" customHeight="1">
      <c r="A313" s="81" t="s">
        <v>23</v>
      </c>
      <c r="B313" s="151" t="s">
        <v>427</v>
      </c>
      <c r="C313" s="82">
        <f t="shared" si="17"/>
        <v>0</v>
      </c>
    </row>
    <row r="314" spans="1:3" ht="39" customHeight="1">
      <c r="A314" s="81" t="s">
        <v>24</v>
      </c>
      <c r="B314" s="151" t="s">
        <v>428</v>
      </c>
      <c r="C314" s="82">
        <f t="shared" si="17"/>
        <v>1</v>
      </c>
    </row>
    <row r="315" spans="1:3" ht="12.75">
      <c r="A315" s="81" t="s">
        <v>25</v>
      </c>
      <c r="B315" s="151" t="s">
        <v>427</v>
      </c>
      <c r="C315" s="82">
        <f t="shared" si="17"/>
        <v>0</v>
      </c>
    </row>
    <row r="316" spans="1:3" ht="30.75" customHeight="1">
      <c r="A316" s="98" t="s">
        <v>34</v>
      </c>
      <c r="B316" s="152" t="s">
        <v>428</v>
      </c>
      <c r="C316" s="82">
        <f t="shared" si="17"/>
        <v>1</v>
      </c>
    </row>
    <row r="317" spans="1:3" ht="12.75">
      <c r="A317" s="89" t="s">
        <v>96</v>
      </c>
      <c r="B317" s="80"/>
      <c r="C317" s="82">
        <f>SUM(C309:C316)</f>
        <v>6</v>
      </c>
    </row>
    <row r="318" spans="1:2" ht="27" customHeight="1">
      <c r="A318" s="106" t="s">
        <v>4</v>
      </c>
      <c r="B318" s="59"/>
    </row>
    <row r="319" ht="12.75">
      <c r="B319" s="59"/>
    </row>
    <row r="320" spans="1:2" ht="12.75">
      <c r="A320" s="89" t="s">
        <v>29</v>
      </c>
      <c r="B320" s="80">
        <f>C317+C305+C289</f>
        <v>25</v>
      </c>
    </row>
    <row r="321" ht="12.75">
      <c r="B321" s="59"/>
    </row>
    <row r="322" ht="12.75">
      <c r="B322" s="59"/>
    </row>
    <row r="323" spans="1:2" ht="18.75" customHeight="1">
      <c r="A323" s="107" t="s">
        <v>35</v>
      </c>
      <c r="B323" s="59"/>
    </row>
    <row r="324" spans="1:2" ht="12.75">
      <c r="A324" s="108" t="s">
        <v>36</v>
      </c>
      <c r="B324" s="59"/>
    </row>
    <row r="325" spans="1:3" ht="12.75">
      <c r="A325" s="85" t="s">
        <v>37</v>
      </c>
      <c r="B325" s="86"/>
      <c r="C325" s="87"/>
    </row>
    <row r="326" spans="1:3" ht="70.5" customHeight="1">
      <c r="A326" s="81" t="s">
        <v>38</v>
      </c>
      <c r="B326" s="151" t="s">
        <v>428</v>
      </c>
      <c r="C326" s="82">
        <f aca="true" t="shared" si="18" ref="C326:C337">IF(B326="S",1,0)</f>
        <v>1</v>
      </c>
    </row>
    <row r="327" spans="1:3" ht="41.25" customHeight="1">
      <c r="A327" s="81" t="s">
        <v>39</v>
      </c>
      <c r="B327" s="151" t="s">
        <v>428</v>
      </c>
      <c r="C327" s="82">
        <f t="shared" si="18"/>
        <v>1</v>
      </c>
    </row>
    <row r="328" spans="1:3" ht="30" customHeight="1">
      <c r="A328" s="81" t="s">
        <v>40</v>
      </c>
      <c r="B328" s="151" t="s">
        <v>428</v>
      </c>
      <c r="C328" s="82">
        <f t="shared" si="18"/>
        <v>1</v>
      </c>
    </row>
    <row r="329" spans="1:3" ht="29.25" customHeight="1">
      <c r="A329" s="81" t="s">
        <v>41</v>
      </c>
      <c r="B329" s="151" t="s">
        <v>428</v>
      </c>
      <c r="C329" s="82">
        <f t="shared" si="18"/>
        <v>1</v>
      </c>
    </row>
    <row r="330" spans="1:3" ht="30" customHeight="1">
      <c r="A330" s="81" t="s">
        <v>42</v>
      </c>
      <c r="B330" s="151" t="s">
        <v>428</v>
      </c>
      <c r="C330" s="82">
        <f t="shared" si="18"/>
        <v>1</v>
      </c>
    </row>
    <row r="331" spans="1:3" ht="41.25" customHeight="1">
      <c r="A331" s="81" t="s">
        <v>43</v>
      </c>
      <c r="B331" s="151" t="s">
        <v>428</v>
      </c>
      <c r="C331" s="82">
        <f t="shared" si="18"/>
        <v>1</v>
      </c>
    </row>
    <row r="332" spans="1:3" ht="30.75" customHeight="1">
      <c r="A332" s="81" t="s">
        <v>44</v>
      </c>
      <c r="B332" s="151" t="s">
        <v>428</v>
      </c>
      <c r="C332" s="82">
        <f t="shared" si="18"/>
        <v>1</v>
      </c>
    </row>
    <row r="333" spans="1:3" ht="38.25" customHeight="1">
      <c r="A333" s="81" t="s">
        <v>45</v>
      </c>
      <c r="B333" s="151" t="s">
        <v>428</v>
      </c>
      <c r="C333" s="82">
        <f t="shared" si="18"/>
        <v>1</v>
      </c>
    </row>
    <row r="334" spans="1:3" ht="37.5" customHeight="1">
      <c r="A334" s="81" t="s">
        <v>46</v>
      </c>
      <c r="B334" s="151" t="s">
        <v>428</v>
      </c>
      <c r="C334" s="82">
        <f t="shared" si="18"/>
        <v>1</v>
      </c>
    </row>
    <row r="335" spans="1:3" ht="39" customHeight="1">
      <c r="A335" s="81" t="s">
        <v>49</v>
      </c>
      <c r="B335" s="151" t="s">
        <v>428</v>
      </c>
      <c r="C335" s="82">
        <f t="shared" si="18"/>
        <v>1</v>
      </c>
    </row>
    <row r="336" spans="1:3" ht="43.5" customHeight="1">
      <c r="A336" s="81" t="s">
        <v>50</v>
      </c>
      <c r="B336" s="151" t="s">
        <v>427</v>
      </c>
      <c r="C336" s="82">
        <f t="shared" si="18"/>
        <v>0</v>
      </c>
    </row>
    <row r="337" spans="1:3" ht="30.75" customHeight="1">
      <c r="A337" s="81" t="s">
        <v>51</v>
      </c>
      <c r="B337" s="151" t="s">
        <v>427</v>
      </c>
      <c r="C337" s="82">
        <f t="shared" si="18"/>
        <v>0</v>
      </c>
    </row>
    <row r="338" spans="1:3" ht="12.75">
      <c r="A338" s="89" t="s">
        <v>96</v>
      </c>
      <c r="B338" s="80"/>
      <c r="C338" s="82">
        <f>SUM(C326:C337)</f>
        <v>10</v>
      </c>
    </row>
    <row r="339" ht="12.75">
      <c r="B339" s="59"/>
    </row>
    <row r="340" ht="12.75">
      <c r="B340" s="59"/>
    </row>
    <row r="341" spans="1:3" ht="12.75">
      <c r="A341" s="85" t="s">
        <v>52</v>
      </c>
      <c r="B341" s="79"/>
      <c r="C341" s="80"/>
    </row>
    <row r="342" spans="1:3" ht="30" customHeight="1">
      <c r="A342" s="81" t="s">
        <v>53</v>
      </c>
      <c r="B342" s="151" t="s">
        <v>428</v>
      </c>
      <c r="C342" s="82">
        <f aca="true" t="shared" si="19" ref="C342:C347">IF(B342="S",1,0)</f>
        <v>1</v>
      </c>
    </row>
    <row r="343" spans="1:3" ht="39.75" customHeight="1">
      <c r="A343" s="81" t="s">
        <v>54</v>
      </c>
      <c r="B343" s="151" t="s">
        <v>428</v>
      </c>
      <c r="C343" s="82">
        <f t="shared" si="19"/>
        <v>1</v>
      </c>
    </row>
    <row r="344" spans="1:3" ht="25.5" customHeight="1">
      <c r="A344" s="81" t="s">
        <v>55</v>
      </c>
      <c r="B344" s="151" t="s">
        <v>428</v>
      </c>
      <c r="C344" s="82">
        <f t="shared" si="19"/>
        <v>1</v>
      </c>
    </row>
    <row r="345" spans="1:3" ht="26.25" customHeight="1">
      <c r="A345" s="81" t="s">
        <v>56</v>
      </c>
      <c r="B345" s="151" t="s">
        <v>428</v>
      </c>
      <c r="C345" s="82">
        <f t="shared" si="19"/>
        <v>1</v>
      </c>
    </row>
    <row r="346" spans="1:3" ht="39" customHeight="1">
      <c r="A346" s="81" t="s">
        <v>57</v>
      </c>
      <c r="B346" s="151" t="s">
        <v>428</v>
      </c>
      <c r="C346" s="82">
        <f t="shared" si="19"/>
        <v>1</v>
      </c>
    </row>
    <row r="347" spans="1:3" ht="24.75" customHeight="1" thickBot="1">
      <c r="A347" s="109" t="s">
        <v>58</v>
      </c>
      <c r="B347" s="159" t="s">
        <v>428</v>
      </c>
      <c r="C347" s="161">
        <f t="shared" si="19"/>
        <v>1</v>
      </c>
    </row>
    <row r="348" spans="1:3" ht="12.75">
      <c r="A348" s="110" t="s">
        <v>59</v>
      </c>
      <c r="B348" s="160"/>
      <c r="C348" s="162"/>
    </row>
    <row r="349" spans="1:3" ht="25.5">
      <c r="A349" s="111" t="s">
        <v>60</v>
      </c>
      <c r="B349" s="160"/>
      <c r="C349" s="162"/>
    </row>
    <row r="350" spans="1:3" ht="12.75">
      <c r="A350" s="111" t="s">
        <v>93</v>
      </c>
      <c r="B350" s="160"/>
      <c r="C350" s="162"/>
    </row>
    <row r="351" spans="1:3" ht="12.75">
      <c r="A351" s="111" t="s">
        <v>94</v>
      </c>
      <c r="B351" s="160"/>
      <c r="C351" s="162"/>
    </row>
    <row r="352" spans="1:3" ht="12.75">
      <c r="A352" s="111" t="s">
        <v>95</v>
      </c>
      <c r="B352" s="160"/>
      <c r="C352" s="162"/>
    </row>
    <row r="353" spans="1:3" ht="12.75">
      <c r="A353" s="111" t="s">
        <v>61</v>
      </c>
      <c r="B353" s="160"/>
      <c r="C353" s="162"/>
    </row>
    <row r="354" spans="1:3" ht="13.5" thickBot="1">
      <c r="A354" s="112" t="s">
        <v>62</v>
      </c>
      <c r="B354" s="160"/>
      <c r="C354" s="162"/>
    </row>
    <row r="355" spans="1:3" ht="36.75" customHeight="1">
      <c r="A355" s="95" t="s">
        <v>69</v>
      </c>
      <c r="B355" s="150" t="s">
        <v>428</v>
      </c>
      <c r="C355" s="113">
        <f>IF(B355="S",1,0)</f>
        <v>1</v>
      </c>
    </row>
    <row r="356" spans="1:3" ht="27" customHeight="1">
      <c r="A356" s="81" t="s">
        <v>70</v>
      </c>
      <c r="B356" s="151" t="s">
        <v>428</v>
      </c>
      <c r="C356" s="82">
        <f>IF(B356="S",1,0)</f>
        <v>1</v>
      </c>
    </row>
    <row r="357" spans="1:3" ht="68.25" customHeight="1">
      <c r="A357" s="81" t="s">
        <v>71</v>
      </c>
      <c r="B357" s="151" t="s">
        <v>428</v>
      </c>
      <c r="C357" s="82">
        <f>IF(B357="S",1,0)</f>
        <v>1</v>
      </c>
    </row>
    <row r="358" spans="1:3" ht="39" customHeight="1">
      <c r="A358" s="81" t="s">
        <v>72</v>
      </c>
      <c r="B358" s="151" t="s">
        <v>428</v>
      </c>
      <c r="C358" s="82">
        <f>IF(B358="S",1,0)</f>
        <v>1</v>
      </c>
    </row>
    <row r="359" spans="1:3" ht="12.75">
      <c r="A359" s="89" t="s">
        <v>96</v>
      </c>
      <c r="B359" s="80"/>
      <c r="C359" s="82">
        <f>SUM(C342:C358)</f>
        <v>10</v>
      </c>
    </row>
    <row r="360" ht="12.75">
      <c r="B360" s="59"/>
    </row>
    <row r="361" spans="1:3" ht="12.75">
      <c r="A361" s="85" t="s">
        <v>73</v>
      </c>
      <c r="B361" s="79"/>
      <c r="C361" s="80"/>
    </row>
    <row r="362" spans="1:3" ht="55.5" customHeight="1">
      <c r="A362" s="81" t="s">
        <v>74</v>
      </c>
      <c r="B362" s="151" t="s">
        <v>428</v>
      </c>
      <c r="C362" s="82">
        <f aca="true" t="shared" si="20" ref="C362:C367">IF(B362="S",1,0)</f>
        <v>1</v>
      </c>
    </row>
    <row r="363" spans="1:3" ht="51" customHeight="1">
      <c r="A363" s="81" t="s">
        <v>75</v>
      </c>
      <c r="B363" s="151" t="s">
        <v>428</v>
      </c>
      <c r="C363" s="82">
        <f t="shared" si="20"/>
        <v>1</v>
      </c>
    </row>
    <row r="364" spans="1:3" ht="41.25" customHeight="1">
      <c r="A364" s="81" t="s">
        <v>77</v>
      </c>
      <c r="B364" s="151" t="s">
        <v>428</v>
      </c>
      <c r="C364" s="82">
        <f t="shared" si="20"/>
        <v>1</v>
      </c>
    </row>
    <row r="365" spans="1:3" ht="30" customHeight="1">
      <c r="A365" s="81" t="s">
        <v>78</v>
      </c>
      <c r="B365" s="151" t="s">
        <v>428</v>
      </c>
      <c r="C365" s="82">
        <f t="shared" si="20"/>
        <v>1</v>
      </c>
    </row>
    <row r="366" spans="1:3" ht="39.75" customHeight="1">
      <c r="A366" s="81" t="s">
        <v>79</v>
      </c>
      <c r="B366" s="151" t="s">
        <v>428</v>
      </c>
      <c r="C366" s="82">
        <f t="shared" si="20"/>
        <v>1</v>
      </c>
    </row>
    <row r="367" spans="1:3" ht="30.75" customHeight="1">
      <c r="A367" s="81" t="s">
        <v>80</v>
      </c>
      <c r="B367" s="151" t="s">
        <v>428</v>
      </c>
      <c r="C367" s="82">
        <f t="shared" si="20"/>
        <v>1</v>
      </c>
    </row>
    <row r="368" spans="1:3" ht="12.75">
      <c r="A368" s="89" t="s">
        <v>96</v>
      </c>
      <c r="B368" s="80"/>
      <c r="C368" s="82">
        <f>SUM(C362:C367)</f>
        <v>6</v>
      </c>
    </row>
    <row r="369" ht="12.75">
      <c r="B369" s="59"/>
    </row>
    <row r="370" spans="1:3" ht="12.75">
      <c r="A370" s="85" t="s">
        <v>81</v>
      </c>
      <c r="B370" s="86"/>
      <c r="C370" s="87"/>
    </row>
    <row r="371" spans="1:3" ht="27" customHeight="1">
      <c r="A371" s="81" t="s">
        <v>82</v>
      </c>
      <c r="B371" s="151" t="s">
        <v>428</v>
      </c>
      <c r="C371" s="82">
        <f aca="true" t="shared" si="21" ref="C371:C380">IF(B371="S",1,0)</f>
        <v>1</v>
      </c>
    </row>
    <row r="372" spans="1:3" ht="27.75" customHeight="1">
      <c r="A372" s="81" t="s">
        <v>100</v>
      </c>
      <c r="B372" s="151" t="s">
        <v>428</v>
      </c>
      <c r="C372" s="82">
        <f t="shared" si="21"/>
        <v>1</v>
      </c>
    </row>
    <row r="373" spans="1:3" ht="55.5" customHeight="1">
      <c r="A373" s="81" t="s">
        <v>101</v>
      </c>
      <c r="B373" s="151" t="s">
        <v>428</v>
      </c>
      <c r="C373" s="82">
        <f t="shared" si="21"/>
        <v>1</v>
      </c>
    </row>
    <row r="374" spans="1:3" ht="27" customHeight="1">
      <c r="A374" s="81" t="s">
        <v>102</v>
      </c>
      <c r="B374" s="151" t="s">
        <v>428</v>
      </c>
      <c r="C374" s="82">
        <f t="shared" si="21"/>
        <v>1</v>
      </c>
    </row>
    <row r="375" spans="1:3" ht="25.5" customHeight="1">
      <c r="A375" s="81" t="s">
        <v>103</v>
      </c>
      <c r="B375" s="151" t="s">
        <v>428</v>
      </c>
      <c r="C375" s="82">
        <f t="shared" si="21"/>
        <v>1</v>
      </c>
    </row>
    <row r="376" spans="1:3" ht="40.5" customHeight="1">
      <c r="A376" s="81" t="s">
        <v>104</v>
      </c>
      <c r="B376" s="151" t="s">
        <v>428</v>
      </c>
      <c r="C376" s="82">
        <f t="shared" si="21"/>
        <v>1</v>
      </c>
    </row>
    <row r="377" spans="1:3" ht="25.5">
      <c r="A377" s="81" t="s">
        <v>105</v>
      </c>
      <c r="B377" s="151" t="s">
        <v>428</v>
      </c>
      <c r="C377" s="82">
        <f t="shared" si="21"/>
        <v>1</v>
      </c>
    </row>
    <row r="378" spans="1:3" ht="25.5">
      <c r="A378" s="81" t="s">
        <v>106</v>
      </c>
      <c r="B378" s="151" t="s">
        <v>428</v>
      </c>
      <c r="C378" s="82">
        <f t="shared" si="21"/>
        <v>1</v>
      </c>
    </row>
    <row r="379" spans="1:3" ht="51.75" customHeight="1">
      <c r="A379" s="81" t="s">
        <v>108</v>
      </c>
      <c r="B379" s="151" t="s">
        <v>428</v>
      </c>
      <c r="C379" s="82">
        <f t="shared" si="21"/>
        <v>1</v>
      </c>
    </row>
    <row r="380" spans="1:3" ht="51.75" customHeight="1">
      <c r="A380" s="81" t="s">
        <v>109</v>
      </c>
      <c r="B380" s="151" t="s">
        <v>428</v>
      </c>
      <c r="C380" s="114">
        <f t="shared" si="21"/>
        <v>1</v>
      </c>
    </row>
    <row r="381" spans="1:4" ht="12.75">
      <c r="A381" s="89" t="s">
        <v>96</v>
      </c>
      <c r="B381" s="80"/>
      <c r="C381" s="115">
        <f>SUM(C371:C380)</f>
        <v>10</v>
      </c>
      <c r="D381" s="116"/>
    </row>
    <row r="382" spans="1:2" ht="12.75">
      <c r="A382" s="89" t="s">
        <v>30</v>
      </c>
      <c r="B382" s="80">
        <f>C381+C368+C359+C338</f>
        <v>36</v>
      </c>
    </row>
    <row r="383" ht="12.75">
      <c r="B383" s="59"/>
    </row>
    <row r="384" spans="1:3" ht="12.75">
      <c r="A384" s="117" t="s">
        <v>110</v>
      </c>
      <c r="B384" s="118"/>
      <c r="C384" s="119"/>
    </row>
    <row r="385" spans="1:3" ht="25.5" customHeight="1">
      <c r="A385" s="81" t="s">
        <v>111</v>
      </c>
      <c r="B385" s="151" t="s">
        <v>428</v>
      </c>
      <c r="C385" s="82">
        <f aca="true" t="shared" si="22" ref="C385:C396">IF(B385="S",1,0)</f>
        <v>1</v>
      </c>
    </row>
    <row r="386" spans="1:3" ht="25.5">
      <c r="A386" s="81" t="s">
        <v>112</v>
      </c>
      <c r="B386" s="151" t="s">
        <v>428</v>
      </c>
      <c r="C386" s="82">
        <f t="shared" si="22"/>
        <v>1</v>
      </c>
    </row>
    <row r="387" spans="1:3" ht="28.5" customHeight="1">
      <c r="A387" s="81" t="s">
        <v>113</v>
      </c>
      <c r="B387" s="151" t="s">
        <v>428</v>
      </c>
      <c r="C387" s="82">
        <f t="shared" si="22"/>
        <v>1</v>
      </c>
    </row>
    <row r="388" spans="1:3" ht="27" customHeight="1">
      <c r="A388" s="81" t="s">
        <v>114</v>
      </c>
      <c r="B388" s="151" t="s">
        <v>428</v>
      </c>
      <c r="C388" s="82">
        <f t="shared" si="22"/>
        <v>1</v>
      </c>
    </row>
    <row r="389" spans="1:3" ht="42" customHeight="1">
      <c r="A389" s="81" t="s">
        <v>115</v>
      </c>
      <c r="B389" s="151" t="s">
        <v>428</v>
      </c>
      <c r="C389" s="82">
        <f t="shared" si="22"/>
        <v>1</v>
      </c>
    </row>
    <row r="390" spans="1:3" ht="25.5" customHeight="1">
      <c r="A390" s="81" t="s">
        <v>116</v>
      </c>
      <c r="B390" s="151" t="s">
        <v>428</v>
      </c>
      <c r="C390" s="82">
        <f t="shared" si="22"/>
        <v>1</v>
      </c>
    </row>
    <row r="391" spans="1:3" ht="39.75" customHeight="1">
      <c r="A391" s="81" t="s">
        <v>117</v>
      </c>
      <c r="B391" s="151" t="s">
        <v>428</v>
      </c>
      <c r="C391" s="82">
        <f t="shared" si="22"/>
        <v>1</v>
      </c>
    </row>
    <row r="392" spans="1:3" ht="51" customHeight="1">
      <c r="A392" s="81" t="s">
        <v>118</v>
      </c>
      <c r="B392" s="151" t="s">
        <v>428</v>
      </c>
      <c r="C392" s="82">
        <f t="shared" si="22"/>
        <v>1</v>
      </c>
    </row>
    <row r="393" spans="1:3" ht="25.5">
      <c r="A393" s="81" t="s">
        <v>119</v>
      </c>
      <c r="B393" s="151" t="s">
        <v>428</v>
      </c>
      <c r="C393" s="82">
        <f t="shared" si="22"/>
        <v>1</v>
      </c>
    </row>
    <row r="394" spans="1:3" ht="25.5" customHeight="1">
      <c r="A394" s="81" t="s">
        <v>120</v>
      </c>
      <c r="B394" s="151" t="s">
        <v>428</v>
      </c>
      <c r="C394" s="82">
        <f t="shared" si="22"/>
        <v>1</v>
      </c>
    </row>
    <row r="395" spans="1:3" ht="12.75">
      <c r="A395" s="81" t="s">
        <v>121</v>
      </c>
      <c r="B395" s="151" t="s">
        <v>428</v>
      </c>
      <c r="C395" s="82">
        <f t="shared" si="22"/>
        <v>1</v>
      </c>
    </row>
    <row r="396" spans="1:3" ht="27" customHeight="1">
      <c r="A396" s="81" t="s">
        <v>122</v>
      </c>
      <c r="B396" s="151" t="s">
        <v>428</v>
      </c>
      <c r="C396" s="82">
        <f t="shared" si="22"/>
        <v>1</v>
      </c>
    </row>
    <row r="397" spans="1:3" ht="12.75">
      <c r="A397" s="89" t="s">
        <v>96</v>
      </c>
      <c r="B397" s="80"/>
      <c r="C397" s="82">
        <f>SUM(C385:C396)</f>
        <v>12</v>
      </c>
    </row>
    <row r="398" ht="12.75">
      <c r="B398" s="59"/>
    </row>
    <row r="399" spans="1:3" ht="13.5" customHeight="1">
      <c r="A399" s="85" t="s">
        <v>123</v>
      </c>
      <c r="B399" s="86"/>
      <c r="C399" s="87"/>
    </row>
    <row r="400" spans="1:3" ht="41.25" customHeight="1">
      <c r="A400" s="81" t="s">
        <v>124</v>
      </c>
      <c r="B400" s="151" t="s">
        <v>428</v>
      </c>
      <c r="C400" s="82">
        <f aca="true" t="shared" si="23" ref="C400:C414">IF(B400="S",1,0)</f>
        <v>1</v>
      </c>
    </row>
    <row r="401" spans="1:3" ht="39" customHeight="1">
      <c r="A401" s="81" t="s">
        <v>125</v>
      </c>
      <c r="B401" s="151" t="s">
        <v>428</v>
      </c>
      <c r="C401" s="82">
        <f t="shared" si="23"/>
        <v>1</v>
      </c>
    </row>
    <row r="402" spans="1:3" ht="40.5" customHeight="1">
      <c r="A402" s="81" t="s">
        <v>126</v>
      </c>
      <c r="B402" s="151" t="s">
        <v>428</v>
      </c>
      <c r="C402" s="82">
        <f t="shared" si="23"/>
        <v>1</v>
      </c>
    </row>
    <row r="403" spans="1:3" ht="15" customHeight="1">
      <c r="A403" s="81" t="s">
        <v>127</v>
      </c>
      <c r="B403" s="151" t="s">
        <v>428</v>
      </c>
      <c r="C403" s="82">
        <f t="shared" si="23"/>
        <v>1</v>
      </c>
    </row>
    <row r="404" spans="1:3" ht="25.5" customHeight="1">
      <c r="A404" s="81" t="s">
        <v>128</v>
      </c>
      <c r="B404" s="151" t="s">
        <v>428</v>
      </c>
      <c r="C404" s="82">
        <f t="shared" si="23"/>
        <v>1</v>
      </c>
    </row>
    <row r="405" spans="1:3" ht="25.5" customHeight="1">
      <c r="A405" s="81" t="s">
        <v>129</v>
      </c>
      <c r="B405" s="151" t="s">
        <v>428</v>
      </c>
      <c r="C405" s="82">
        <f t="shared" si="23"/>
        <v>1</v>
      </c>
    </row>
    <row r="406" spans="1:3" ht="37.5" customHeight="1">
      <c r="A406" s="81" t="s">
        <v>130</v>
      </c>
      <c r="B406" s="151" t="s">
        <v>428</v>
      </c>
      <c r="C406" s="82">
        <f t="shared" si="23"/>
        <v>1</v>
      </c>
    </row>
    <row r="407" spans="1:3" ht="27.75" customHeight="1">
      <c r="A407" s="81" t="s">
        <v>131</v>
      </c>
      <c r="B407" s="151" t="s">
        <v>428</v>
      </c>
      <c r="C407" s="82">
        <f t="shared" si="23"/>
        <v>1</v>
      </c>
    </row>
    <row r="408" spans="1:3" ht="25.5" customHeight="1">
      <c r="A408" s="81" t="s">
        <v>132</v>
      </c>
      <c r="B408" s="151" t="s">
        <v>428</v>
      </c>
      <c r="C408" s="82">
        <f t="shared" si="23"/>
        <v>1</v>
      </c>
    </row>
    <row r="409" spans="1:3" ht="12.75">
      <c r="A409" s="81" t="s">
        <v>133</v>
      </c>
      <c r="B409" s="151" t="s">
        <v>428</v>
      </c>
      <c r="C409" s="82">
        <f t="shared" si="23"/>
        <v>1</v>
      </c>
    </row>
    <row r="410" spans="1:3" ht="25.5" customHeight="1">
      <c r="A410" s="81" t="s">
        <v>134</v>
      </c>
      <c r="B410" s="151" t="s">
        <v>428</v>
      </c>
      <c r="C410" s="82">
        <f t="shared" si="23"/>
        <v>1</v>
      </c>
    </row>
    <row r="411" spans="1:3" ht="37.5" customHeight="1">
      <c r="A411" s="81" t="s">
        <v>135</v>
      </c>
      <c r="B411" s="151" t="s">
        <v>428</v>
      </c>
      <c r="C411" s="82">
        <f t="shared" si="23"/>
        <v>1</v>
      </c>
    </row>
    <row r="412" spans="1:3" ht="12.75">
      <c r="A412" s="81" t="s">
        <v>136</v>
      </c>
      <c r="B412" s="151" t="s">
        <v>428</v>
      </c>
      <c r="C412" s="82">
        <f t="shared" si="23"/>
        <v>1</v>
      </c>
    </row>
    <row r="413" spans="1:3" ht="28.5" customHeight="1">
      <c r="A413" s="81" t="s">
        <v>137</v>
      </c>
      <c r="B413" s="151" t="s">
        <v>427</v>
      </c>
      <c r="C413" s="82">
        <f t="shared" si="23"/>
        <v>0</v>
      </c>
    </row>
    <row r="414" spans="1:3" ht="27.75" customHeight="1">
      <c r="A414" s="81" t="s">
        <v>138</v>
      </c>
      <c r="B414" s="151" t="s">
        <v>428</v>
      </c>
      <c r="C414" s="82">
        <f t="shared" si="23"/>
        <v>1</v>
      </c>
    </row>
    <row r="415" spans="1:3" ht="12.75">
      <c r="A415" s="89" t="s">
        <v>96</v>
      </c>
      <c r="B415" s="80"/>
      <c r="C415" s="82">
        <f>SUM(C400:C414)</f>
        <v>14</v>
      </c>
    </row>
    <row r="416" spans="1:2" ht="13.5" thickBot="1">
      <c r="A416" s="120" t="s">
        <v>31</v>
      </c>
      <c r="B416" s="121">
        <f>C338+C359+C368+C381+C397+C415</f>
        <v>62</v>
      </c>
    </row>
    <row r="417" spans="1:2" ht="13.5" thickBot="1">
      <c r="A417" s="122" t="s">
        <v>32</v>
      </c>
      <c r="B417" s="123">
        <f>B416+B128+B212+B274+B320</f>
        <v>226</v>
      </c>
    </row>
    <row r="418" ht="12.75">
      <c r="B418" s="59"/>
    </row>
    <row r="419" spans="1:2" ht="12.75">
      <c r="A419" s="77" t="s">
        <v>417</v>
      </c>
      <c r="B419" s="59"/>
    </row>
    <row r="420" spans="1:2" ht="12.75">
      <c r="A420" s="153" t="s">
        <v>263</v>
      </c>
      <c r="B420" s="59"/>
    </row>
    <row r="421" spans="1:2" ht="12.75">
      <c r="A421" s="124" t="s">
        <v>418</v>
      </c>
      <c r="B421" s="59"/>
    </row>
    <row r="422" spans="1:2" ht="12.75">
      <c r="A422" s="153" t="s">
        <v>264</v>
      </c>
      <c r="B422" s="59"/>
    </row>
    <row r="423" ht="12.75">
      <c r="B423" s="59"/>
    </row>
    <row r="424" ht="12.75">
      <c r="B424" s="59"/>
    </row>
    <row r="425" ht="12.75">
      <c r="B425" s="59"/>
    </row>
  </sheetData>
  <sheetProtection/>
  <mergeCells count="3">
    <mergeCell ref="A1:C1"/>
    <mergeCell ref="B347:B354"/>
    <mergeCell ref="C347:C354"/>
  </mergeCells>
  <conditionalFormatting sqref="A25 A38 A49 A76 A144 A159 A171 A228 A246">
    <cfRule type="cellIs" priority="1" dxfId="0" operator="notEqual" stopIfTrue="1">
      <formula>"."</formula>
    </cfRule>
  </conditionalFormatting>
  <conditionalFormatting sqref="C12:C24 C28:C37 C42:C48 C68:C75 C79:C91 C94:C98 C101:C107 C110:C117 C119 C121 C123:C127 C134:C142 C400:C414 C162:C170 C174:C211 C147:C157 C231:C245 C249:C259 C263:C272 C218:C226 C293:C305 C309:C317 C326:C338 C342:C347 C355:C359 C362:C368 C371:C381 C385:C397 C279:C287 C289">
    <cfRule type="cellIs" priority="2" dxfId="1" operator="between" stopIfTrue="1">
      <formula>0</formula>
      <formula>0.1</formula>
    </cfRule>
  </conditionalFormatting>
  <printOptions horizontalCentered="1" verticalCentered="1"/>
  <pageMargins left="0.75" right="0.75" top="1" bottom="1" header="0" footer="0"/>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Hoja4"/>
  <dimension ref="A1:H54"/>
  <sheetViews>
    <sheetView showGridLines="0" workbookViewId="0" topLeftCell="A1">
      <selection activeCell="C8" sqref="C8"/>
    </sheetView>
  </sheetViews>
  <sheetFormatPr defaultColWidth="11.421875" defaultRowHeight="12.75"/>
  <cols>
    <col min="1" max="1" width="2.8515625" style="13" customWidth="1"/>
    <col min="2" max="2" width="45.00390625" style="13" customWidth="1"/>
    <col min="3" max="3" width="6.421875" style="13" customWidth="1"/>
    <col min="4" max="4" width="4.28125" style="13" customWidth="1"/>
    <col min="5" max="6" width="11.421875" style="13" customWidth="1"/>
    <col min="7" max="7" width="14.00390625" style="13" customWidth="1"/>
    <col min="8" max="8" width="2.7109375" style="13" customWidth="1"/>
    <col min="9" max="16384" width="11.421875" style="13" customWidth="1"/>
  </cols>
  <sheetData>
    <row r="1" spans="1:8" ht="48.75" customHeight="1">
      <c r="A1" s="156" t="s">
        <v>63</v>
      </c>
      <c r="B1" s="165"/>
      <c r="C1" s="165"/>
      <c r="D1" s="165"/>
      <c r="E1" s="165"/>
      <c r="F1" s="165"/>
      <c r="G1" s="165"/>
      <c r="H1" s="165"/>
    </row>
    <row r="2" spans="1:8" ht="18">
      <c r="A2" s="1"/>
      <c r="B2" s="1"/>
      <c r="C2" s="1"/>
      <c r="D2" s="2"/>
      <c r="E2" s="3"/>
      <c r="F2" s="4"/>
      <c r="G2" s="1"/>
      <c r="H2" s="1"/>
    </row>
    <row r="3" spans="1:8" ht="12.75">
      <c r="A3" s="1"/>
      <c r="B3" s="5" t="s">
        <v>164</v>
      </c>
      <c r="C3" s="6"/>
      <c r="D3" s="1"/>
      <c r="E3" s="3"/>
      <c r="F3" s="4"/>
      <c r="G3" s="1"/>
      <c r="H3" s="1"/>
    </row>
    <row r="4" spans="1:8" ht="12.75">
      <c r="A4" s="1"/>
      <c r="B4" s="6" t="s">
        <v>107</v>
      </c>
      <c r="C4" s="6"/>
      <c r="D4" s="1"/>
      <c r="E4" s="3"/>
      <c r="F4" s="4"/>
      <c r="G4" s="1"/>
      <c r="H4" s="1"/>
    </row>
    <row r="5" spans="1:8" ht="12.75">
      <c r="A5" s="1"/>
      <c r="B5" s="1"/>
      <c r="C5" s="1"/>
      <c r="D5" s="1"/>
      <c r="E5" s="3"/>
      <c r="F5" s="4"/>
      <c r="G5" s="1"/>
      <c r="H5" s="1"/>
    </row>
    <row r="6" spans="1:8" ht="18">
      <c r="A6" s="1"/>
      <c r="B6" s="7" t="s">
        <v>285</v>
      </c>
      <c r="C6" s="7"/>
      <c r="D6" s="1"/>
      <c r="E6" s="3"/>
      <c r="F6" s="4"/>
      <c r="G6" s="1"/>
      <c r="H6" s="1"/>
    </row>
    <row r="7" spans="1:8" ht="12.75">
      <c r="A7" s="1"/>
      <c r="B7" s="14"/>
      <c r="C7" s="15"/>
      <c r="D7" s="15"/>
      <c r="E7" s="16" t="s">
        <v>267</v>
      </c>
      <c r="F7" s="17">
        <f ca="1">TODAY()</f>
        <v>38792</v>
      </c>
      <c r="G7" s="15"/>
      <c r="H7" s="18"/>
    </row>
    <row r="8" spans="1:8" ht="12.75">
      <c r="A8" s="1"/>
      <c r="B8" s="19" t="s">
        <v>418</v>
      </c>
      <c r="C8" s="20" t="str">
        <f>'Ingreso de datos'!A422</f>
        <v>HMI R. Sardá</v>
      </c>
      <c r="D8" s="21"/>
      <c r="E8" s="22"/>
      <c r="F8" s="23"/>
      <c r="G8" s="21"/>
      <c r="H8" s="24"/>
    </row>
    <row r="9" spans="1:8" ht="12.75">
      <c r="A9" s="1"/>
      <c r="B9" s="25" t="s">
        <v>266</v>
      </c>
      <c r="C9" s="26" t="str">
        <f>'Ingreso de datos'!A420</f>
        <v>Dr. A. Miguel Larguía, Dr. Diego S. Enriquez</v>
      </c>
      <c r="D9" s="27"/>
      <c r="E9" s="28"/>
      <c r="F9" s="29"/>
      <c r="G9" s="27"/>
      <c r="H9" s="30"/>
    </row>
    <row r="10" spans="1:8" ht="12.75">
      <c r="A10" s="1"/>
      <c r="B10" s="1"/>
      <c r="C10" s="1"/>
      <c r="D10" s="1"/>
      <c r="E10" s="8"/>
      <c r="F10" s="4"/>
      <c r="G10" s="1"/>
      <c r="H10" s="1"/>
    </row>
    <row r="11" spans="1:8" ht="33.75" customHeight="1">
      <c r="A11" s="1"/>
      <c r="B11" s="31" t="s">
        <v>220</v>
      </c>
      <c r="C11" s="32">
        <f>('Ingreso de datos'!B417)/273*100</f>
        <v>82.78388278388277</v>
      </c>
      <c r="D11" s="33" t="s">
        <v>284</v>
      </c>
      <c r="E11" s="8"/>
      <c r="F11" s="4"/>
      <c r="G11" s="1"/>
      <c r="H11" s="1"/>
    </row>
    <row r="12" spans="1:8" ht="12.75">
      <c r="A12" s="1"/>
      <c r="B12" s="1"/>
      <c r="C12" s="9"/>
      <c r="D12" s="1"/>
      <c r="E12" s="8"/>
      <c r="F12" s="4"/>
      <c r="G12" s="1"/>
      <c r="H12" s="1"/>
    </row>
    <row r="13" spans="1:8" ht="12.75">
      <c r="A13" s="1"/>
      <c r="B13" s="1"/>
      <c r="C13" s="9"/>
      <c r="D13" s="1"/>
      <c r="E13" s="8"/>
      <c r="F13" s="4"/>
      <c r="G13" s="1"/>
      <c r="H13" s="1"/>
    </row>
    <row r="14" spans="1:8" ht="12.75">
      <c r="A14" s="1"/>
      <c r="B14" s="34" t="s">
        <v>268</v>
      </c>
      <c r="C14" s="35">
        <f>('Ingreso de datos'!B128)/73*100</f>
        <v>87.67123287671232</v>
      </c>
      <c r="D14" s="36" t="s">
        <v>284</v>
      </c>
      <c r="E14" s="8"/>
      <c r="F14" s="4"/>
      <c r="G14" s="1"/>
      <c r="H14" s="1"/>
    </row>
    <row r="15" spans="1:8" ht="12.75">
      <c r="A15" s="1"/>
      <c r="B15" s="36"/>
      <c r="C15" s="35"/>
      <c r="D15" s="36"/>
      <c r="E15" s="8"/>
      <c r="F15" s="4"/>
      <c r="G15" s="1"/>
      <c r="H15" s="1"/>
    </row>
    <row r="16" spans="1:8" ht="12.75">
      <c r="A16" s="1"/>
      <c r="B16" s="36" t="s">
        <v>269</v>
      </c>
      <c r="C16" s="35">
        <f>('Ingreso de datos'!C24)/12*100</f>
        <v>75</v>
      </c>
      <c r="D16" s="36" t="s">
        <v>284</v>
      </c>
      <c r="E16" s="163">
        <f>IF('Ingreso de datos'!A25=".","","Recursos limitantes no cumplidos, ver informe")</f>
      </c>
      <c r="F16" s="164"/>
      <c r="G16" s="164"/>
      <c r="H16" s="164"/>
    </row>
    <row r="17" spans="1:8" ht="30" customHeight="1">
      <c r="A17" s="1"/>
      <c r="B17" s="36" t="s">
        <v>270</v>
      </c>
      <c r="C17" s="35">
        <f>('Ingreso de datos'!C37)/9*100</f>
        <v>88.88888888888889</v>
      </c>
      <c r="D17" s="36" t="s">
        <v>284</v>
      </c>
      <c r="E17" s="163">
        <f>IF('Ingreso de datos'!A38=".","","Recursos limitantes no cumplidos, ver informe")</f>
      </c>
      <c r="F17" s="164"/>
      <c r="G17" s="164"/>
      <c r="H17" s="164"/>
    </row>
    <row r="18" spans="1:8" ht="12.75">
      <c r="A18" s="1"/>
      <c r="B18" s="36" t="s">
        <v>271</v>
      </c>
      <c r="C18" s="35">
        <f>('Ingreso de datos'!C48)/6*100</f>
        <v>66.66666666666666</v>
      </c>
      <c r="D18" s="36" t="s">
        <v>284</v>
      </c>
      <c r="E18" s="163">
        <f>IF('Ingreso de datos'!A49=".","","Recursos limitantes no cumplidos, ver informe")</f>
      </c>
      <c r="F18" s="164"/>
      <c r="G18" s="164"/>
      <c r="H18" s="164"/>
    </row>
    <row r="19" spans="1:8" ht="12.75">
      <c r="A19" s="1"/>
      <c r="B19" s="36" t="s">
        <v>272</v>
      </c>
      <c r="C19" s="35">
        <f>('Ingreso de datos'!C127)/46*100</f>
        <v>93.47826086956522</v>
      </c>
      <c r="D19" s="36" t="s">
        <v>284</v>
      </c>
      <c r="E19" s="163">
        <f>IF('Ingreso de datos'!A76=".","","Recursos limitantes no cumplidos, ver informe")</f>
      </c>
      <c r="F19" s="164"/>
      <c r="G19" s="164"/>
      <c r="H19" s="164"/>
    </row>
    <row r="20" spans="1:8" ht="12.75">
      <c r="A20" s="1"/>
      <c r="B20" s="1"/>
      <c r="C20" s="1"/>
      <c r="D20" s="1"/>
      <c r="E20" s="8"/>
      <c r="F20" s="4"/>
      <c r="G20" s="1"/>
      <c r="H20" s="1"/>
    </row>
    <row r="21" spans="1:8" ht="12.75">
      <c r="A21" s="1"/>
      <c r="B21" s="1"/>
      <c r="C21" s="1"/>
      <c r="D21" s="1"/>
      <c r="E21" s="8"/>
      <c r="F21" s="4"/>
      <c r="G21" s="1"/>
      <c r="H21" s="1"/>
    </row>
    <row r="22" spans="1:8" ht="12.75">
      <c r="A22" s="1"/>
      <c r="B22" s="34" t="s">
        <v>276</v>
      </c>
      <c r="C22" s="35">
        <f>('Ingreso de datos'!B212)/64*100</f>
        <v>71.875</v>
      </c>
      <c r="D22" s="36" t="s">
        <v>284</v>
      </c>
      <c r="E22" s="8"/>
      <c r="F22" s="4"/>
      <c r="G22" s="1"/>
      <c r="H22" s="1"/>
    </row>
    <row r="23" spans="1:8" ht="12.75">
      <c r="A23" s="1"/>
      <c r="B23" s="36"/>
      <c r="C23" s="36"/>
      <c r="D23" s="36"/>
      <c r="E23" s="8"/>
      <c r="F23" s="4"/>
      <c r="G23" s="1"/>
      <c r="H23" s="1"/>
    </row>
    <row r="24" spans="1:8" ht="12.75">
      <c r="A24" s="1"/>
      <c r="B24" s="36" t="s">
        <v>269</v>
      </c>
      <c r="C24" s="36">
        <f>('Ingreso de datos'!C142)/8*100</f>
        <v>87.5</v>
      </c>
      <c r="D24" s="36" t="s">
        <v>284</v>
      </c>
      <c r="E24" s="163">
        <f>IF('Ingreso de datos'!A144=".","","Recursos limitantes no cumplidos, ver informe")</f>
      </c>
      <c r="F24" s="164"/>
      <c r="G24" s="164"/>
      <c r="H24" s="164"/>
    </row>
    <row r="25" spans="1:8" ht="12.75">
      <c r="A25" s="1"/>
      <c r="B25" s="36" t="s">
        <v>277</v>
      </c>
      <c r="C25" s="35">
        <f>('Ingreso de datos'!C158)/11*100</f>
        <v>0</v>
      </c>
      <c r="D25" s="36" t="s">
        <v>284</v>
      </c>
      <c r="E25" s="163" t="str">
        <f>IF('Ingreso de datos'!A159=".","","Recursos limitantes no cumplidos, ver informe")</f>
        <v>Recursos limitantes no cumplidos, ver informe</v>
      </c>
      <c r="F25" s="164"/>
      <c r="G25" s="164"/>
      <c r="H25" s="164"/>
    </row>
    <row r="26" spans="1:8" ht="12.75">
      <c r="A26" s="1"/>
      <c r="B26" s="36" t="s">
        <v>271</v>
      </c>
      <c r="C26" s="36">
        <f>('Ingreso de datos'!C170)/8*100</f>
        <v>87.5</v>
      </c>
      <c r="D26" s="36" t="s">
        <v>284</v>
      </c>
      <c r="E26" s="163">
        <f>IF('Ingreso de datos'!A171=".","","Recursos limitantes no cumplidos, ver informe")</f>
      </c>
      <c r="F26" s="164"/>
      <c r="G26" s="164"/>
      <c r="H26" s="164"/>
    </row>
    <row r="27" spans="1:8" ht="12.75">
      <c r="A27" s="1"/>
      <c r="B27" s="36" t="s">
        <v>272</v>
      </c>
      <c r="C27" s="35">
        <f>('Ingreso de datos'!C211)/37*100</f>
        <v>86.48648648648648</v>
      </c>
      <c r="D27" s="36" t="s">
        <v>284</v>
      </c>
      <c r="E27" s="8"/>
      <c r="F27" s="4"/>
      <c r="G27" s="1"/>
      <c r="H27" s="1"/>
    </row>
    <row r="28" spans="1:8" ht="12.75">
      <c r="A28" s="1"/>
      <c r="B28" s="1"/>
      <c r="C28" s="1"/>
      <c r="D28" s="1"/>
      <c r="E28" s="8"/>
      <c r="F28" s="4"/>
      <c r="G28" s="1"/>
      <c r="H28" s="1"/>
    </row>
    <row r="29" spans="1:8" ht="12.75">
      <c r="A29" s="1"/>
      <c r="B29" s="1"/>
      <c r="C29" s="1"/>
      <c r="D29" s="1"/>
      <c r="E29" s="8"/>
      <c r="F29" s="4"/>
      <c r="G29" s="1"/>
      <c r="H29" s="1"/>
    </row>
    <row r="30" spans="1:8" ht="12.75">
      <c r="A30" s="1"/>
      <c r="B30" s="34" t="s">
        <v>273</v>
      </c>
      <c r="C30" s="35">
        <f>('Ingreso de datos'!B274)/42*100</f>
        <v>69.04761904761905</v>
      </c>
      <c r="D30" s="36" t="s">
        <v>284</v>
      </c>
      <c r="E30" s="10"/>
      <c r="F30" s="11"/>
      <c r="G30" s="12"/>
      <c r="H30" s="1"/>
    </row>
    <row r="31" spans="1:8" ht="12.75">
      <c r="A31" s="1"/>
      <c r="B31" s="36"/>
      <c r="C31" s="35"/>
      <c r="D31" s="36"/>
      <c r="E31" s="10"/>
      <c r="F31" s="11"/>
      <c r="G31" s="12"/>
      <c r="H31" s="1"/>
    </row>
    <row r="32" spans="1:8" ht="12.75">
      <c r="A32" s="1"/>
      <c r="B32" s="36" t="s">
        <v>269</v>
      </c>
      <c r="C32" s="35">
        <f>('Ingreso de datos'!C227)/9*100</f>
        <v>44.44444444444444</v>
      </c>
      <c r="D32" s="36" t="s">
        <v>284</v>
      </c>
      <c r="E32" s="163" t="str">
        <f>IF('Ingreso de datos'!A228=".","","Recursos limitantes no cumplidos, ver informe")</f>
        <v>Recursos limitantes no cumplidos, ver informe</v>
      </c>
      <c r="F32" s="164"/>
      <c r="G32" s="164"/>
      <c r="H32" s="164"/>
    </row>
    <row r="33" spans="1:8" ht="12.75">
      <c r="A33" s="1"/>
      <c r="B33" s="36" t="s">
        <v>275</v>
      </c>
      <c r="C33" s="35">
        <f>('Ingreso de datos'!C259)/10*100</f>
        <v>70</v>
      </c>
      <c r="D33" s="36" t="s">
        <v>284</v>
      </c>
      <c r="E33" s="8"/>
      <c r="F33" s="4"/>
      <c r="G33" s="1"/>
      <c r="H33" s="1"/>
    </row>
    <row r="34" spans="1:8" ht="12.75">
      <c r="A34" s="1"/>
      <c r="B34" s="36" t="s">
        <v>274</v>
      </c>
      <c r="C34" s="37">
        <f>('Ingreso de datos'!C245)/14*100</f>
        <v>85.71428571428571</v>
      </c>
      <c r="D34" s="36" t="s">
        <v>284</v>
      </c>
      <c r="E34" s="163">
        <f>IF('Ingreso de datos'!A246=".","","Recursos limitantes no cumplidos, ver informe")</f>
      </c>
      <c r="F34" s="164"/>
      <c r="G34" s="164"/>
      <c r="H34" s="164"/>
    </row>
    <row r="35" spans="1:8" ht="12.75">
      <c r="A35" s="1"/>
      <c r="B35" s="36" t="s">
        <v>438</v>
      </c>
      <c r="C35" s="37">
        <f>('Ingreso de datos'!C272)/9*100</f>
        <v>66.66666666666666</v>
      </c>
      <c r="D35" s="36" t="s">
        <v>284</v>
      </c>
      <c r="E35" s="8"/>
      <c r="F35" s="4"/>
      <c r="G35" s="1"/>
      <c r="H35" s="1"/>
    </row>
    <row r="36" spans="1:8" ht="12.75">
      <c r="A36" s="1"/>
      <c r="B36" s="1"/>
      <c r="C36" s="1"/>
      <c r="D36" s="1"/>
      <c r="E36" s="8"/>
      <c r="F36" s="4"/>
      <c r="G36" s="1"/>
      <c r="H36" s="1"/>
    </row>
    <row r="37" spans="1:8" ht="12.75">
      <c r="A37" s="1"/>
      <c r="B37" s="1"/>
      <c r="C37" s="1"/>
      <c r="D37" s="1"/>
      <c r="E37" s="8"/>
      <c r="F37" s="4"/>
      <c r="G37" s="1"/>
      <c r="H37" s="1"/>
    </row>
    <row r="38" spans="1:8" ht="12.75">
      <c r="A38" s="1"/>
      <c r="B38" s="34" t="s">
        <v>278</v>
      </c>
      <c r="C38" s="35">
        <f>('Ingreso de datos'!B320)/29*100</f>
        <v>86.20689655172413</v>
      </c>
      <c r="D38" s="36" t="s">
        <v>284</v>
      </c>
      <c r="E38" s="10"/>
      <c r="F38" s="11"/>
      <c r="G38" s="12"/>
      <c r="H38" s="1"/>
    </row>
    <row r="39" spans="1:8" ht="12.75">
      <c r="A39" s="1"/>
      <c r="B39" s="36"/>
      <c r="C39" s="36"/>
      <c r="D39" s="36"/>
      <c r="E39" s="10"/>
      <c r="F39" s="11"/>
      <c r="G39" s="12"/>
      <c r="H39" s="1"/>
    </row>
    <row r="40" spans="1:8" ht="12.75">
      <c r="A40" s="1"/>
      <c r="B40" s="36" t="s">
        <v>279</v>
      </c>
      <c r="C40" s="35">
        <f>('Ingreso de datos'!C289)/9*100</f>
        <v>100</v>
      </c>
      <c r="D40" s="36" t="s">
        <v>284</v>
      </c>
      <c r="E40" s="8"/>
      <c r="F40" s="11"/>
      <c r="G40" s="12"/>
      <c r="H40" s="1"/>
    </row>
    <row r="41" spans="1:8" ht="12.75">
      <c r="A41" s="1"/>
      <c r="B41" s="36" t="s">
        <v>280</v>
      </c>
      <c r="C41" s="35">
        <f>('Ingreso de datos'!C305)/12*100</f>
        <v>83.33333333333334</v>
      </c>
      <c r="D41" s="36" t="s">
        <v>284</v>
      </c>
      <c r="E41" s="8"/>
      <c r="F41" s="11"/>
      <c r="G41" s="12"/>
      <c r="H41" s="1"/>
    </row>
    <row r="42" spans="1:8" ht="12.75">
      <c r="A42" s="1"/>
      <c r="B42" s="36" t="s">
        <v>281</v>
      </c>
      <c r="C42" s="37">
        <f>('Ingreso de datos'!C317)/8*100</f>
        <v>75</v>
      </c>
      <c r="D42" s="36" t="s">
        <v>284</v>
      </c>
      <c r="E42" s="8"/>
      <c r="F42" s="11"/>
      <c r="G42" s="12"/>
      <c r="H42" s="1"/>
    </row>
    <row r="43" spans="1:8" ht="12.75">
      <c r="A43" s="1"/>
      <c r="B43" s="1"/>
      <c r="C43" s="1"/>
      <c r="D43" s="1"/>
      <c r="E43" s="8"/>
      <c r="F43" s="3"/>
      <c r="G43" s="4"/>
      <c r="H43" s="1"/>
    </row>
    <row r="44" spans="1:8" ht="12.75">
      <c r="A44" s="1"/>
      <c r="B44" s="1"/>
      <c r="C44" s="1"/>
      <c r="D44" s="1"/>
      <c r="E44" s="8"/>
      <c r="F44" s="3"/>
      <c r="G44" s="4"/>
      <c r="H44" s="1"/>
    </row>
    <row r="45" spans="1:8" ht="12.75">
      <c r="A45" s="1"/>
      <c r="B45" s="34" t="s">
        <v>282</v>
      </c>
      <c r="C45" s="35">
        <f>('Ingreso de datos'!B416)/65*100</f>
        <v>95.38461538461539</v>
      </c>
      <c r="D45" s="36" t="s">
        <v>284</v>
      </c>
      <c r="E45" s="8"/>
      <c r="F45" s="3"/>
      <c r="G45" s="4"/>
      <c r="H45" s="1"/>
    </row>
    <row r="46" spans="1:8" ht="12.75">
      <c r="A46" s="1"/>
      <c r="B46" s="36"/>
      <c r="C46" s="35"/>
      <c r="D46" s="36"/>
      <c r="E46" s="8"/>
      <c r="F46" s="4"/>
      <c r="G46" s="1"/>
      <c r="H46" s="1"/>
    </row>
    <row r="47" spans="1:8" ht="12.75">
      <c r="A47" s="1"/>
      <c r="B47" s="36" t="s">
        <v>269</v>
      </c>
      <c r="C47" s="35">
        <f>('Ingreso de datos'!B382)/38*100</f>
        <v>94.73684210526315</v>
      </c>
      <c r="D47" s="36" t="s">
        <v>284</v>
      </c>
      <c r="E47" s="8"/>
      <c r="F47" s="4"/>
      <c r="G47" s="1"/>
      <c r="H47" s="1"/>
    </row>
    <row r="48" spans="1:8" ht="25.5">
      <c r="A48" s="1"/>
      <c r="B48" s="38" t="s">
        <v>283</v>
      </c>
      <c r="C48" s="35">
        <f>('Ingreso de datos'!C397)/12*100</f>
        <v>100</v>
      </c>
      <c r="D48" s="36" t="s">
        <v>284</v>
      </c>
      <c r="E48" s="8"/>
      <c r="F48" s="4"/>
      <c r="G48" s="1"/>
      <c r="H48" s="1"/>
    </row>
    <row r="49" spans="1:8" ht="12.75">
      <c r="A49" s="1"/>
      <c r="B49" s="36" t="s">
        <v>272</v>
      </c>
      <c r="C49" s="35">
        <f>('Ingreso de datos'!C415)/15*100</f>
        <v>93.33333333333333</v>
      </c>
      <c r="D49" s="36" t="s">
        <v>284</v>
      </c>
      <c r="E49" s="8"/>
      <c r="F49" s="4"/>
      <c r="G49" s="1"/>
      <c r="H49" s="1"/>
    </row>
    <row r="50" spans="1:8" ht="12.75">
      <c r="A50" s="1"/>
      <c r="B50" s="1"/>
      <c r="C50" s="1"/>
      <c r="D50" s="1"/>
      <c r="E50" s="8"/>
      <c r="F50" s="4"/>
      <c r="G50" s="1"/>
      <c r="H50" s="1"/>
    </row>
    <row r="51" spans="1:8" ht="12.75">
      <c r="A51" s="1"/>
      <c r="B51" s="1"/>
      <c r="C51" s="1"/>
      <c r="D51" s="1"/>
      <c r="E51" s="8"/>
      <c r="F51" s="4"/>
      <c r="G51" s="1"/>
      <c r="H51" s="1"/>
    </row>
    <row r="52" spans="1:8" ht="12.75">
      <c r="A52" s="1"/>
      <c r="B52" s="3"/>
      <c r="C52" s="4"/>
      <c r="D52" s="1"/>
      <c r="E52" s="1"/>
      <c r="F52" s="1"/>
      <c r="G52" s="1"/>
      <c r="H52" s="1"/>
    </row>
    <row r="53" spans="1:8" ht="12.75">
      <c r="A53" s="1"/>
      <c r="B53" s="3"/>
      <c r="C53" s="4"/>
      <c r="D53" s="1"/>
      <c r="E53" s="1"/>
      <c r="F53" s="1"/>
      <c r="G53" s="1"/>
      <c r="H53" s="1"/>
    </row>
    <row r="54" spans="1:8" ht="12.75">
      <c r="A54" s="1"/>
      <c r="B54" s="3"/>
      <c r="C54" s="4"/>
      <c r="D54" s="1"/>
      <c r="E54" s="1"/>
      <c r="F54" s="1"/>
      <c r="G54" s="1"/>
      <c r="H54" s="1"/>
    </row>
  </sheetData>
  <mergeCells count="10">
    <mergeCell ref="E32:H32"/>
    <mergeCell ref="E34:H34"/>
    <mergeCell ref="A1:H1"/>
    <mergeCell ref="E19:H19"/>
    <mergeCell ref="E24:H24"/>
    <mergeCell ref="E25:H25"/>
    <mergeCell ref="E26:H26"/>
    <mergeCell ref="E16:H16"/>
    <mergeCell ref="E17:H17"/>
    <mergeCell ref="E18:H18"/>
  </mergeCells>
  <printOptions horizontalCentered="1" verticalCentered="1"/>
  <pageMargins left="0.75" right="0.75" top="1" bottom="1" header="0" footer="0"/>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Hoja5"/>
  <dimension ref="A2:E146"/>
  <sheetViews>
    <sheetView showGridLines="0" workbookViewId="0" topLeftCell="A1">
      <selection activeCell="A2" sqref="A2:B2"/>
    </sheetView>
  </sheetViews>
  <sheetFormatPr defaultColWidth="11.421875" defaultRowHeight="12.75"/>
  <cols>
    <col min="1" max="1" width="30.57421875" style="39" customWidth="1"/>
    <col min="2" max="2" width="64.00390625" style="39" customWidth="1"/>
    <col min="3" max="16384" width="11.421875" style="39" customWidth="1"/>
  </cols>
  <sheetData>
    <row r="2" spans="1:2" ht="48.75" customHeight="1">
      <c r="A2" s="156" t="s">
        <v>420</v>
      </c>
      <c r="B2" s="158"/>
    </row>
    <row r="3" ht="11.25" customHeight="1"/>
    <row r="4" spans="1:2" ht="16.5" customHeight="1">
      <c r="A4" s="166" t="s">
        <v>63</v>
      </c>
      <c r="B4" s="167"/>
    </row>
    <row r="5" spans="1:2" ht="6.75" customHeight="1">
      <c r="A5" s="40"/>
      <c r="B5" s="40"/>
    </row>
    <row r="6" spans="1:2" ht="25.5">
      <c r="A6" s="41" t="s">
        <v>164</v>
      </c>
      <c r="B6" s="40"/>
    </row>
    <row r="7" spans="1:2" ht="25.5">
      <c r="A7" s="42" t="s">
        <v>107</v>
      </c>
      <c r="B7" s="40"/>
    </row>
    <row r="8" spans="1:2" ht="24.75" customHeight="1">
      <c r="A8" s="40"/>
      <c r="B8" s="40"/>
    </row>
    <row r="9" spans="1:2" ht="23.25" customHeight="1">
      <c r="A9" s="43" t="s">
        <v>267</v>
      </c>
      <c r="B9" s="44">
        <f ca="1">TODAY()</f>
        <v>38792</v>
      </c>
    </row>
    <row r="10" spans="1:5" s="49" customFormat="1" ht="22.5" customHeight="1">
      <c r="A10" s="45" t="s">
        <v>418</v>
      </c>
      <c r="B10" s="46" t="str">
        <f>Informe!C8</f>
        <v>HMI R. Sardá</v>
      </c>
      <c r="C10" s="39"/>
      <c r="D10" s="47"/>
      <c r="E10" s="48"/>
    </row>
    <row r="11" spans="1:5" s="49" customFormat="1" ht="17.25" customHeight="1">
      <c r="A11" s="45" t="s">
        <v>266</v>
      </c>
      <c r="B11" s="46" t="str">
        <f>Informe!C9</f>
        <v>Dr. A. Miguel Larguía, Dr. Diego S. Enriquez</v>
      </c>
      <c r="C11" s="39"/>
      <c r="D11" s="47"/>
      <c r="E11" s="48"/>
    </row>
    <row r="12" spans="1:2" ht="23.25" customHeight="1">
      <c r="A12" s="40"/>
      <c r="B12" s="40"/>
    </row>
    <row r="13" spans="1:2" ht="17.25" customHeight="1">
      <c r="A13" s="50" t="str">
        <f>Informe!B14</f>
        <v>Planta física:</v>
      </c>
      <c r="B13" s="40">
        <f>IF('Ingreso de datos'!A25=".","","Recursos limitantes no cumplidos")</f>
      </c>
    </row>
    <row r="14" spans="1:2" ht="30" customHeight="1">
      <c r="A14" s="51">
        <f>IF(B14="","",Informe!B16)</f>
      </c>
      <c r="B14" s="51">
        <f>IF('Ingreso de datos'!C20=0,'Ingreso de datos'!A20,"")</f>
      </c>
    </row>
    <row r="15" spans="1:2" ht="26.25" customHeight="1">
      <c r="A15" s="51">
        <f>IF(B15="","",Informe!B16)</f>
      </c>
      <c r="B15" s="51">
        <f>IF('Ingreso de datos'!C21=0,'Ingreso de datos'!A21,"")</f>
      </c>
    </row>
    <row r="16" spans="1:2" ht="51.75" customHeight="1">
      <c r="A16" s="51">
        <f>IF(B16="","",Informe!B16)</f>
      </c>
      <c r="B16" s="51">
        <f>IF('Ingreso de datos'!C23=0,'Ingreso de datos'!A23,"")</f>
      </c>
    </row>
    <row r="17" spans="1:2" ht="52.5" customHeight="1">
      <c r="A17" s="51">
        <f>IF(B17="","",Informe!B17)</f>
      </c>
      <c r="B17" s="51">
        <f>IF('Ingreso de datos'!C28=0,'Ingreso de datos'!A28,"")</f>
      </c>
    </row>
    <row r="18" spans="1:2" ht="49.5" customHeight="1">
      <c r="A18" s="51">
        <f>IF(B18="","",Informe!B17)</f>
      </c>
      <c r="B18" s="51">
        <f>IF('Ingreso de datos'!C32=0,'Ingreso de datos'!A32,"")</f>
      </c>
    </row>
    <row r="19" spans="1:2" ht="40.5" customHeight="1">
      <c r="A19" s="51">
        <f>IF(B19="","",Informe!B17)</f>
      </c>
      <c r="B19" s="51">
        <f>IF('Ingreso de datos'!C33=0,'Ingreso de datos'!A33,"")</f>
      </c>
    </row>
    <row r="20" spans="1:2" ht="35.25" customHeight="1">
      <c r="A20" s="51">
        <f>IF(B20="","",Informe!B17)</f>
      </c>
      <c r="B20" s="51">
        <f>IF('Ingreso de datos'!C34=0,'Ingreso de datos'!A34,"")</f>
      </c>
    </row>
    <row r="21" spans="1:2" ht="27.75" customHeight="1">
      <c r="A21" s="51">
        <f>IF(B21="","",Informe!B18)</f>
      </c>
      <c r="B21" s="51">
        <f>IF('Ingreso de datos'!C35=0,'Ingreso de datos'!A35,"")</f>
      </c>
    </row>
    <row r="22" spans="1:2" ht="33" customHeight="1">
      <c r="A22" s="51">
        <f>IF(B22="","",Informe!B18)</f>
      </c>
      <c r="B22" s="51">
        <f>IF('Ingreso de datos'!C42=0,'Ingreso de datos'!A42,"")</f>
      </c>
    </row>
    <row r="23" spans="1:2" ht="33" customHeight="1">
      <c r="A23" s="51">
        <f>IF(B23="","",Informe!B18)</f>
      </c>
      <c r="B23" s="51">
        <f>IF('Ingreso de datos'!C43=0,'Ingreso de datos'!A43,"")</f>
      </c>
    </row>
    <row r="24" spans="1:2" ht="63" customHeight="1">
      <c r="A24" s="51">
        <f>IF(B24="","",Informe!B19)</f>
      </c>
      <c r="B24" s="51">
        <f>IF('Ingreso de datos'!C68=0,'Ingreso de datos'!A68,"")</f>
      </c>
    </row>
    <row r="25" spans="1:2" ht="48" customHeight="1">
      <c r="A25" s="51">
        <f>IF(B25="","",Informe!B19)</f>
      </c>
      <c r="B25" s="51">
        <f>IF('Ingreso de datos'!C69=0,'Ingreso de datos'!A69,"")</f>
      </c>
    </row>
    <row r="26" spans="1:2" ht="24.75" customHeight="1">
      <c r="A26" s="40"/>
      <c r="B26" s="40"/>
    </row>
    <row r="27" spans="1:2" ht="6" customHeight="1">
      <c r="A27" s="40"/>
      <c r="B27" s="40"/>
    </row>
    <row r="28" spans="1:2" ht="27" customHeight="1">
      <c r="A28" s="50" t="str">
        <f>Informe!B22</f>
        <v>Equipamiento e instrumental:</v>
      </c>
      <c r="B28" s="40"/>
    </row>
    <row r="29" spans="1:2" ht="36.75" customHeight="1">
      <c r="A29" s="51">
        <f>IF(B29="","",Informe!B24)</f>
      </c>
      <c r="B29" s="51">
        <f>IF('Ingreso de datos'!A144=".","","La suma de todos los ítems cumplidos del subcapítulo da menos del 50% del total")</f>
      </c>
    </row>
    <row r="30" spans="1:2" ht="36.75" customHeight="1">
      <c r="A30" s="51">
        <f>IF(B30="","",Informe!B25)</f>
      </c>
      <c r="B30" s="51">
        <f>IF('Ingreso de datos'!C147=0,'Ingreso de datos'!A147,"")</f>
      </c>
    </row>
    <row r="31" spans="1:2" ht="36.75" customHeight="1">
      <c r="A31" s="51">
        <f>IF(B31="","",Informe!B25)</f>
      </c>
      <c r="B31" s="51">
        <f>IF('Ingreso de datos'!C148=0,'Ingreso de datos'!A148,"")</f>
      </c>
    </row>
    <row r="32" spans="1:2" ht="36.75" customHeight="1">
      <c r="A32" s="51">
        <f>IF(B32="","",Informe!B25)</f>
      </c>
      <c r="B32" s="51">
        <f>IF('Ingreso de datos'!C149=0,'Ingreso de datos'!A149,"")</f>
      </c>
    </row>
    <row r="33" spans="1:2" ht="36.75" customHeight="1">
      <c r="A33" s="51">
        <f>IF(B33="","",Informe!B25)</f>
      </c>
      <c r="B33" s="51">
        <f>IF('Ingreso de datos'!C150=0,'Ingreso de datos'!A150,"")</f>
      </c>
    </row>
    <row r="34" spans="1:2" ht="36.75" customHeight="1">
      <c r="A34" s="51" t="str">
        <f>IF(B34="","",Informe!B25)</f>
        <v>Zona de atención del RN en Sala de Partos</v>
      </c>
      <c r="B34" s="51" t="str">
        <f>IF('Ingreso de datos'!C151=0,'Ingreso de datos'!A151,"")</f>
        <v>86. Cuenta con los equipos necesarios para efectuar  la correcta identificación del RN (doble pulsera y clamps con igual código)</v>
      </c>
    </row>
    <row r="35" spans="1:2" ht="30.75" customHeight="1">
      <c r="A35" s="51">
        <f>IF(B35="","",Informe!B26)</f>
      </c>
      <c r="B35" s="51">
        <f>IF('Ingreso de datos'!A171=".","","La suma de todos los ítems cumplidos del subcapítulo da menos del 50% del total")</f>
      </c>
    </row>
    <row r="36" spans="1:2" ht="13.5" customHeight="1">
      <c r="A36" s="51"/>
      <c r="B36" s="51"/>
    </row>
    <row r="37" spans="1:2" ht="22.5" customHeight="1">
      <c r="A37" s="50" t="str">
        <f>Informe!B30</f>
        <v>Recursos Humanos:</v>
      </c>
      <c r="B37" s="40"/>
    </row>
    <row r="38" spans="1:2" ht="36.75" customHeight="1">
      <c r="A38" s="51">
        <f>IF(B38="","",Informe!B32)</f>
      </c>
      <c r="B38" s="51">
        <f>IF('Ingreso de datos'!C218=0,'Ingreso de datos'!A218,"")</f>
      </c>
    </row>
    <row r="39" spans="1:2" ht="25.5" customHeight="1">
      <c r="A39" s="51" t="str">
        <f>IF(B39="","",Informe!B32)</f>
        <v>Requisitos comunes:</v>
      </c>
      <c r="B39" s="51" t="str">
        <f>IF('Ingreso de datos'!C220=0,'Ingreso de datos'!A220,"")</f>
        <v>140. Una vez por año como mínimo se repite el examen médico</v>
      </c>
    </row>
    <row r="40" spans="1:2" ht="54.75" customHeight="1">
      <c r="A40" s="51">
        <f>IF(B40="","",Informe!B34)</f>
      </c>
      <c r="B40" s="51">
        <f>IF('Ingreso de datos'!C231=0,'Ingreso de datos'!A231,"")</f>
      </c>
    </row>
    <row r="41" spans="1:2" ht="53.25" customHeight="1">
      <c r="A41" s="51">
        <f>IF(B41="","",Informe!B34)</f>
      </c>
      <c r="B41" s="51">
        <f>IF('Ingreso de datos'!C232=0,'Ingreso de datos'!A232,"")</f>
      </c>
    </row>
    <row r="42" spans="1:2" ht="45" customHeight="1">
      <c r="A42" s="51">
        <f>IF(B42="","",Informe!B34)</f>
      </c>
      <c r="B42" s="51">
        <f>IF('Ingreso de datos'!C233=0,'Ingreso de datos'!A233,"")</f>
      </c>
    </row>
    <row r="43" spans="1:2" ht="24" customHeight="1">
      <c r="A43" s="51">
        <f>IF(B43="","",Informe!B34)</f>
      </c>
      <c r="B43" s="51">
        <f>IF('Ingreso de datos'!C234=0,'Ingreso de datos'!A234,"")</f>
      </c>
    </row>
    <row r="44" spans="1:2" ht="24" customHeight="1">
      <c r="A44" s="51">
        <f>IF(B44="","",Informe!B34)</f>
      </c>
      <c r="B44" s="51">
        <f>IF('Ingreso de datos'!C235=0,'Ingreso de datos'!A235,"")</f>
      </c>
    </row>
    <row r="45" spans="1:2" ht="34.5" customHeight="1">
      <c r="A45" s="51">
        <f>IF(B45="","",Informe!B34)</f>
      </c>
      <c r="B45" s="51">
        <f>IF('Ingreso de datos'!C236=0,'Ingreso de datos'!A236,"")</f>
      </c>
    </row>
    <row r="46" spans="1:2" ht="12.75">
      <c r="A46" s="40"/>
      <c r="B46" s="40"/>
    </row>
    <row r="47" spans="1:2" ht="12.75">
      <c r="A47" s="40"/>
      <c r="B47" s="40"/>
    </row>
    <row r="48" spans="1:2" ht="12.75">
      <c r="A48" s="40"/>
      <c r="B48" s="40"/>
    </row>
    <row r="49" spans="1:2" ht="12.75">
      <c r="A49" s="40"/>
      <c r="B49" s="40"/>
    </row>
    <row r="50" spans="1:2" ht="12.75">
      <c r="A50" s="40"/>
      <c r="B50" s="40"/>
    </row>
    <row r="51" spans="1:2" ht="12.75">
      <c r="A51" s="40"/>
      <c r="B51" s="40"/>
    </row>
    <row r="52" spans="1:2" ht="12.75">
      <c r="A52" s="40"/>
      <c r="B52" s="40"/>
    </row>
    <row r="53" spans="1:2" ht="12.75">
      <c r="A53" s="40"/>
      <c r="B53" s="40"/>
    </row>
    <row r="54" spans="1:2" ht="12.75">
      <c r="A54" s="40"/>
      <c r="B54" s="40"/>
    </row>
    <row r="55" spans="1:2" ht="12.75">
      <c r="A55" s="40"/>
      <c r="B55" s="40"/>
    </row>
    <row r="56" spans="1:2" ht="12.75">
      <c r="A56" s="40"/>
      <c r="B56" s="40"/>
    </row>
    <row r="57" spans="1:2" ht="12.75">
      <c r="A57" s="40"/>
      <c r="B57" s="40"/>
    </row>
    <row r="58" spans="1:2" ht="12.75">
      <c r="A58" s="40"/>
      <c r="B58" s="40"/>
    </row>
    <row r="59" spans="1:2" ht="12.75">
      <c r="A59" s="40"/>
      <c r="B59" s="40"/>
    </row>
    <row r="60" spans="1:2" ht="12.75">
      <c r="A60" s="40"/>
      <c r="B60" s="40"/>
    </row>
    <row r="61" spans="1:2" ht="12.75">
      <c r="A61" s="40"/>
      <c r="B61" s="40"/>
    </row>
    <row r="62" spans="1:2" ht="12.75">
      <c r="A62" s="40"/>
      <c r="B62" s="40"/>
    </row>
    <row r="63" spans="1:2" ht="12.75">
      <c r="A63" s="40"/>
      <c r="B63" s="40"/>
    </row>
    <row r="64" spans="1:2" ht="12.75">
      <c r="A64" s="40"/>
      <c r="B64" s="40"/>
    </row>
    <row r="65" spans="1:2" ht="12.75">
      <c r="A65" s="40"/>
      <c r="B65" s="40"/>
    </row>
    <row r="66" spans="1:2" ht="12.75">
      <c r="A66" s="40"/>
      <c r="B66" s="40"/>
    </row>
    <row r="67" spans="1:2" ht="12.75">
      <c r="A67" s="40"/>
      <c r="B67" s="40"/>
    </row>
    <row r="68" spans="1:2" ht="12.75">
      <c r="A68" s="40"/>
      <c r="B68" s="40"/>
    </row>
    <row r="69" spans="1:2" ht="12.75">
      <c r="A69" s="40"/>
      <c r="B69" s="40"/>
    </row>
    <row r="70" spans="1:2" ht="12.75">
      <c r="A70" s="40"/>
      <c r="B70" s="40"/>
    </row>
    <row r="71" spans="1:2" ht="12.75">
      <c r="A71" s="40"/>
      <c r="B71" s="40"/>
    </row>
    <row r="72" spans="1:2" ht="12.75">
      <c r="A72" s="40"/>
      <c r="B72" s="40"/>
    </row>
    <row r="73" spans="1:2" ht="12.75">
      <c r="A73" s="40"/>
      <c r="B73" s="40"/>
    </row>
    <row r="74" spans="1:2" ht="12.75">
      <c r="A74" s="40"/>
      <c r="B74" s="40"/>
    </row>
    <row r="75" spans="1:2" ht="12.75">
      <c r="A75" s="40"/>
      <c r="B75" s="40"/>
    </row>
    <row r="76" spans="1:2" ht="12.75">
      <c r="A76" s="40"/>
      <c r="B76" s="40"/>
    </row>
    <row r="77" spans="1:2" ht="12.75">
      <c r="A77" s="40"/>
      <c r="B77" s="40"/>
    </row>
    <row r="78" spans="1:2" ht="12.75">
      <c r="A78" s="40"/>
      <c r="B78" s="40"/>
    </row>
    <row r="79" spans="1:2" ht="12.75">
      <c r="A79" s="40"/>
      <c r="B79" s="40"/>
    </row>
    <row r="80" spans="1:2" ht="12.75">
      <c r="A80" s="40"/>
      <c r="B80" s="40"/>
    </row>
    <row r="81" spans="1:2" ht="12.75">
      <c r="A81" s="40"/>
      <c r="B81" s="40"/>
    </row>
    <row r="82" spans="1:2" ht="12.75">
      <c r="A82" s="40"/>
      <c r="B82" s="40"/>
    </row>
    <row r="83" spans="1:2" ht="12.75">
      <c r="A83" s="40"/>
      <c r="B83" s="40"/>
    </row>
    <row r="84" spans="1:2" ht="12.75">
      <c r="A84" s="40"/>
      <c r="B84" s="40"/>
    </row>
    <row r="85" spans="1:2" ht="12.75">
      <c r="A85" s="40"/>
      <c r="B85" s="40"/>
    </row>
    <row r="86" spans="1:2" ht="12.75">
      <c r="A86" s="40"/>
      <c r="B86" s="40"/>
    </row>
    <row r="87" spans="1:2" ht="12.75">
      <c r="A87" s="40"/>
      <c r="B87" s="40"/>
    </row>
    <row r="88" spans="1:2" ht="12.75">
      <c r="A88" s="40"/>
      <c r="B88" s="40"/>
    </row>
    <row r="89" spans="1:2" ht="12.75">
      <c r="A89" s="40"/>
      <c r="B89" s="40"/>
    </row>
    <row r="90" spans="1:2" ht="12.75">
      <c r="A90" s="40"/>
      <c r="B90" s="40"/>
    </row>
    <row r="91" spans="1:2" ht="12.75">
      <c r="A91" s="40"/>
      <c r="B91" s="40"/>
    </row>
    <row r="92" spans="1:2" ht="12.75">
      <c r="A92" s="40"/>
      <c r="B92" s="40"/>
    </row>
    <row r="93" spans="1:2" ht="12.75">
      <c r="A93" s="40"/>
      <c r="B93" s="40"/>
    </row>
    <row r="94" spans="1:2" ht="12.75">
      <c r="A94" s="40"/>
      <c r="B94" s="40"/>
    </row>
    <row r="95" spans="1:2" ht="12.75">
      <c r="A95" s="40"/>
      <c r="B95" s="40"/>
    </row>
    <row r="96" spans="1:2" ht="12.75">
      <c r="A96" s="40"/>
      <c r="B96" s="40"/>
    </row>
    <row r="97" spans="1:2" ht="12.75">
      <c r="A97" s="40"/>
      <c r="B97" s="40"/>
    </row>
    <row r="98" spans="1:2" ht="12.75">
      <c r="A98" s="40"/>
      <c r="B98" s="40"/>
    </row>
    <row r="99" spans="1:2" ht="12.75">
      <c r="A99" s="40"/>
      <c r="B99" s="40"/>
    </row>
    <row r="100" spans="1:2" ht="12.75">
      <c r="A100" s="40"/>
      <c r="B100" s="40"/>
    </row>
    <row r="101" spans="1:2" ht="12.75">
      <c r="A101" s="40"/>
      <c r="B101" s="40"/>
    </row>
    <row r="102" spans="1:2" ht="12.75">
      <c r="A102" s="40"/>
      <c r="B102" s="40"/>
    </row>
    <row r="103" spans="1:2" ht="12.75">
      <c r="A103" s="40"/>
      <c r="B103" s="40"/>
    </row>
    <row r="104" spans="1:2" ht="12.75">
      <c r="A104" s="40"/>
      <c r="B104" s="40"/>
    </row>
    <row r="105" spans="1:2" ht="12.75">
      <c r="A105" s="40"/>
      <c r="B105" s="40"/>
    </row>
    <row r="106" spans="1:2" ht="12.75">
      <c r="A106" s="40"/>
      <c r="B106" s="40"/>
    </row>
    <row r="107" spans="1:2" ht="12.75">
      <c r="A107" s="40"/>
      <c r="B107" s="40"/>
    </row>
    <row r="108" spans="1:2" ht="12.75">
      <c r="A108" s="40"/>
      <c r="B108" s="40"/>
    </row>
    <row r="109" spans="1:2" ht="12.75">
      <c r="A109" s="40"/>
      <c r="B109" s="40"/>
    </row>
    <row r="110" spans="1:2" ht="12.75">
      <c r="A110" s="40"/>
      <c r="B110" s="40"/>
    </row>
    <row r="111" spans="1:2" ht="12.75">
      <c r="A111" s="40"/>
      <c r="B111" s="40"/>
    </row>
    <row r="112" spans="1:2" ht="12.75">
      <c r="A112" s="40"/>
      <c r="B112" s="40"/>
    </row>
    <row r="113" spans="1:2" ht="12.75">
      <c r="A113" s="40"/>
      <c r="B113" s="40"/>
    </row>
    <row r="114" spans="1:2" ht="12.75">
      <c r="A114" s="40"/>
      <c r="B114" s="40"/>
    </row>
    <row r="115" spans="1:2" ht="12.75">
      <c r="A115" s="40"/>
      <c r="B115" s="40"/>
    </row>
    <row r="116" spans="1:2" ht="12.75">
      <c r="A116" s="40"/>
      <c r="B116" s="40"/>
    </row>
    <row r="117" spans="1:2" ht="12.75">
      <c r="A117" s="40"/>
      <c r="B117" s="40"/>
    </row>
    <row r="118" spans="1:2" ht="12.75">
      <c r="A118" s="40"/>
      <c r="B118" s="40"/>
    </row>
    <row r="119" spans="1:2" ht="12.75">
      <c r="A119" s="40"/>
      <c r="B119" s="40"/>
    </row>
    <row r="120" spans="1:2" ht="12.75">
      <c r="A120" s="40"/>
      <c r="B120" s="40"/>
    </row>
    <row r="121" spans="1:2" ht="12.75">
      <c r="A121" s="40"/>
      <c r="B121" s="40"/>
    </row>
    <row r="122" spans="1:2" ht="12.75">
      <c r="A122" s="40"/>
      <c r="B122" s="40"/>
    </row>
    <row r="123" spans="1:2" ht="12.75">
      <c r="A123" s="40"/>
      <c r="B123" s="40"/>
    </row>
    <row r="124" spans="1:2" ht="12.75">
      <c r="A124" s="40"/>
      <c r="B124" s="40"/>
    </row>
    <row r="125" spans="1:2" ht="12.75">
      <c r="A125" s="40"/>
      <c r="B125" s="40"/>
    </row>
    <row r="126" spans="1:2" ht="12.75">
      <c r="A126" s="40"/>
      <c r="B126" s="40"/>
    </row>
    <row r="127" spans="1:2" ht="12.75">
      <c r="A127" s="40"/>
      <c r="B127" s="40"/>
    </row>
    <row r="128" spans="1:2" ht="12.75">
      <c r="A128" s="40"/>
      <c r="B128" s="40"/>
    </row>
    <row r="129" spans="1:2" ht="12.75">
      <c r="A129" s="40"/>
      <c r="B129" s="40"/>
    </row>
    <row r="130" spans="1:2" ht="12.75">
      <c r="A130" s="40"/>
      <c r="B130" s="40"/>
    </row>
    <row r="131" spans="1:2" ht="12.75">
      <c r="A131" s="40"/>
      <c r="B131" s="40"/>
    </row>
    <row r="132" spans="1:2" ht="12.75">
      <c r="A132" s="40"/>
      <c r="B132" s="40"/>
    </row>
    <row r="133" spans="1:2" ht="12.75">
      <c r="A133" s="40"/>
      <c r="B133" s="40"/>
    </row>
    <row r="134" spans="1:2" ht="12.75">
      <c r="A134" s="40"/>
      <c r="B134" s="40"/>
    </row>
    <row r="135" spans="1:2" ht="12.75">
      <c r="A135" s="40"/>
      <c r="B135" s="40"/>
    </row>
    <row r="136" spans="1:2" ht="12.75">
      <c r="A136" s="40"/>
      <c r="B136" s="40"/>
    </row>
    <row r="137" spans="1:2" ht="12.75">
      <c r="A137" s="40"/>
      <c r="B137" s="40"/>
    </row>
    <row r="138" spans="1:2" ht="12.75">
      <c r="A138" s="40"/>
      <c r="B138" s="40"/>
    </row>
    <row r="139" spans="1:2" ht="12.75">
      <c r="A139" s="40"/>
      <c r="B139" s="40"/>
    </row>
    <row r="140" spans="1:2" ht="12.75">
      <c r="A140" s="40"/>
      <c r="B140" s="40"/>
    </row>
    <row r="141" spans="1:2" ht="12.75">
      <c r="A141" s="40"/>
      <c r="B141" s="40"/>
    </row>
    <row r="142" spans="1:2" ht="12.75">
      <c r="A142" s="40"/>
      <c r="B142" s="40"/>
    </row>
    <row r="143" spans="1:2" ht="12.75">
      <c r="A143" s="40"/>
      <c r="B143" s="40"/>
    </row>
    <row r="144" spans="1:2" ht="12.75">
      <c r="A144" s="40"/>
      <c r="B144" s="40"/>
    </row>
    <row r="145" spans="1:2" ht="12.75">
      <c r="A145" s="40"/>
      <c r="B145" s="40"/>
    </row>
    <row r="146" spans="1:2" ht="12.75">
      <c r="A146" s="40"/>
      <c r="B146" s="40"/>
    </row>
  </sheetData>
  <mergeCells count="2">
    <mergeCell ref="A2:B2"/>
    <mergeCell ref="A4:B4"/>
  </mergeCells>
  <printOptions horizontalCentered="1" verticalCentered="1"/>
  <pageMargins left="0.75" right="0.75" top="1" bottom="1" header="0" footer="0"/>
  <pageSetup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D77"/>
  <sheetViews>
    <sheetView showGridLines="0" workbookViewId="0" topLeftCell="A1">
      <selection activeCell="B6" sqref="B6:C6"/>
    </sheetView>
  </sheetViews>
  <sheetFormatPr defaultColWidth="11.421875" defaultRowHeight="12.75"/>
  <cols>
    <col min="1" max="1" width="43.28125" style="56" customWidth="1"/>
    <col min="2" max="2" width="27.00390625" style="62" customWidth="1"/>
    <col min="3" max="3" width="6.28125" style="62" customWidth="1"/>
    <col min="4" max="4" width="10.421875" style="55" customWidth="1"/>
    <col min="5" max="16384" width="11.421875" style="56" customWidth="1"/>
  </cols>
  <sheetData>
    <row r="1" spans="1:3" ht="18">
      <c r="A1" s="156" t="s">
        <v>159</v>
      </c>
      <c r="B1" s="157"/>
      <c r="C1" s="158"/>
    </row>
    <row r="2" spans="1:3" ht="14.25">
      <c r="A2" s="57" t="s">
        <v>164</v>
      </c>
      <c r="B2" s="58"/>
      <c r="C2" s="59"/>
    </row>
    <row r="3" spans="1:3" ht="14.25">
      <c r="A3" s="6" t="s">
        <v>107</v>
      </c>
      <c r="B3" s="58"/>
      <c r="C3" s="59"/>
    </row>
    <row r="4" spans="1:3" ht="5.25" customHeight="1">
      <c r="A4" s="6"/>
      <c r="B4" s="58"/>
      <c r="C4" s="59"/>
    </row>
    <row r="5" spans="1:3" ht="15">
      <c r="A5" s="52" t="s">
        <v>324</v>
      </c>
      <c r="B5" s="175" t="str">
        <f>'Ingreso de datos'!A422</f>
        <v>HMI R. Sardá</v>
      </c>
      <c r="C5" s="176"/>
    </row>
    <row r="6" spans="1:3" ht="15">
      <c r="A6" s="52" t="s">
        <v>417</v>
      </c>
      <c r="B6" s="175" t="str">
        <f>'Ingreso de datos'!A420</f>
        <v>Dr. A. Miguel Larguía, Dr. Diego S. Enriquez</v>
      </c>
      <c r="C6" s="176"/>
    </row>
    <row r="7" ht="12.75"/>
    <row r="8" spans="1:2" ht="12.75">
      <c r="A8" s="63" t="s">
        <v>325</v>
      </c>
      <c r="B8" s="64"/>
    </row>
    <row r="9" spans="1:2" ht="12.75">
      <c r="A9" s="63" t="s">
        <v>326</v>
      </c>
      <c r="B9" s="65" t="s">
        <v>47</v>
      </c>
    </row>
    <row r="10" spans="1:2" ht="15.75">
      <c r="A10" s="53" t="s">
        <v>327</v>
      </c>
      <c r="B10" s="66"/>
    </row>
    <row r="11" spans="1:4" ht="12.75">
      <c r="A11" s="63" t="s">
        <v>328</v>
      </c>
      <c r="B11" s="65">
        <v>9</v>
      </c>
      <c r="C11" s="66">
        <f>IF(B11="","",B11*24)</f>
        <v>216</v>
      </c>
      <c r="D11" s="67" t="str">
        <f>IF(D12="","","Total planta:")</f>
        <v>Total planta:</v>
      </c>
    </row>
    <row r="12" spans="1:4" ht="12.75">
      <c r="A12" s="63" t="s">
        <v>329</v>
      </c>
      <c r="B12" s="65">
        <v>3</v>
      </c>
      <c r="C12" s="66">
        <f>IF(B12="","",B12*36)</f>
        <v>108</v>
      </c>
      <c r="D12" s="67">
        <f>IF(C11="","",SUM(C11:C13))</f>
        <v>524</v>
      </c>
    </row>
    <row r="13" spans="1:3" ht="12.75">
      <c r="A13" s="63" t="s">
        <v>330</v>
      </c>
      <c r="B13" s="65">
        <v>5</v>
      </c>
      <c r="C13" s="66">
        <f>IF(B13="","",B13*40)</f>
        <v>200</v>
      </c>
    </row>
    <row r="14" spans="1:4" ht="12.75">
      <c r="A14" s="63" t="s">
        <v>331</v>
      </c>
      <c r="B14" s="65">
        <v>21</v>
      </c>
      <c r="C14" s="66">
        <f>IF(B14="","",B14*24)</f>
        <v>504</v>
      </c>
      <c r="D14" s="67" t="str">
        <f>IF(D15="","","Total gdia:")</f>
        <v>Total gdia:</v>
      </c>
    </row>
    <row r="15" spans="1:4" ht="12.75">
      <c r="A15" s="63" t="s">
        <v>332</v>
      </c>
      <c r="B15" s="65">
        <v>0</v>
      </c>
      <c r="C15" s="66">
        <f>IF(B15="","",B15*24)</f>
        <v>0</v>
      </c>
      <c r="D15" s="67">
        <f>IF(C14="","",SUM(C14:C17))</f>
        <v>504</v>
      </c>
    </row>
    <row r="16" spans="1:3" ht="12.75">
      <c r="A16" s="63" t="s">
        <v>333</v>
      </c>
      <c r="B16" s="65">
        <v>0</v>
      </c>
      <c r="C16" s="66">
        <f>IF(B16="","",B16*36)</f>
        <v>0</v>
      </c>
    </row>
    <row r="17" spans="1:4" ht="12.75">
      <c r="A17" s="63" t="s">
        <v>334</v>
      </c>
      <c r="B17" s="65">
        <v>0</v>
      </c>
      <c r="C17" s="66">
        <f>IF(B17="","",B17*40)</f>
        <v>0</v>
      </c>
      <c r="D17" s="67" t="str">
        <f>IF(D18="","","Total:")</f>
        <v>Total:</v>
      </c>
    </row>
    <row r="18" spans="1:4" ht="15.75">
      <c r="A18" s="53" t="s">
        <v>335</v>
      </c>
      <c r="B18" s="66"/>
      <c r="D18" s="67">
        <f>IF(C14="","",SUM(C11:C17))</f>
        <v>1028</v>
      </c>
    </row>
    <row r="19" spans="1:2" ht="12.75">
      <c r="A19" s="63" t="s">
        <v>336</v>
      </c>
      <c r="B19" s="65">
        <v>20</v>
      </c>
    </row>
    <row r="20" spans="1:2" ht="12.75">
      <c r="A20" s="63" t="s">
        <v>337</v>
      </c>
      <c r="B20" s="65">
        <v>19</v>
      </c>
    </row>
    <row r="21" spans="1:2" ht="12.75">
      <c r="A21" s="63" t="s">
        <v>338</v>
      </c>
      <c r="B21" s="65">
        <v>19</v>
      </c>
    </row>
    <row r="22" spans="1:4" ht="12.75">
      <c r="A22" s="63" t="s">
        <v>339</v>
      </c>
      <c r="B22" s="65">
        <v>19</v>
      </c>
      <c r="D22" s="67" t="str">
        <f>IF(D23="","","Total:")</f>
        <v>Total:</v>
      </c>
    </row>
    <row r="23" spans="1:4" ht="12.75">
      <c r="A23" s="63" t="s">
        <v>340</v>
      </c>
      <c r="B23" s="65">
        <v>19</v>
      </c>
      <c r="D23" s="67">
        <f>IF(B19="","",SUM(B19:B23))</f>
        <v>96</v>
      </c>
    </row>
    <row r="24" spans="1:2" ht="15.75">
      <c r="A24" s="53" t="s">
        <v>341</v>
      </c>
      <c r="B24" s="66"/>
    </row>
    <row r="25" spans="1:2" ht="12.75">
      <c r="A25" s="63" t="s">
        <v>336</v>
      </c>
      <c r="B25" s="65">
        <v>2</v>
      </c>
    </row>
    <row r="26" spans="1:2" ht="12.75">
      <c r="A26" s="63" t="s">
        <v>337</v>
      </c>
      <c r="B26" s="65">
        <v>2</v>
      </c>
    </row>
    <row r="27" spans="1:2" ht="12.75">
      <c r="A27" s="63" t="s">
        <v>338</v>
      </c>
      <c r="B27" s="65">
        <v>2</v>
      </c>
    </row>
    <row r="28" spans="1:4" ht="12.75">
      <c r="A28" s="63" t="s">
        <v>339</v>
      </c>
      <c r="B28" s="65">
        <v>1</v>
      </c>
      <c r="D28" s="67" t="str">
        <f>IF(D29="","","Total:")</f>
        <v>Total:</v>
      </c>
    </row>
    <row r="29" spans="1:4" ht="12.75">
      <c r="A29" s="63" t="s">
        <v>340</v>
      </c>
      <c r="B29" s="65">
        <v>1</v>
      </c>
      <c r="D29" s="67">
        <f>IF(B25="","",SUM(B25:B29))</f>
        <v>8</v>
      </c>
    </row>
    <row r="30" spans="1:2" ht="12.75">
      <c r="A30" s="63" t="s">
        <v>342</v>
      </c>
      <c r="B30" s="65">
        <v>1</v>
      </c>
    </row>
    <row r="31" spans="1:2" ht="12.75">
      <c r="A31" s="63" t="s">
        <v>343</v>
      </c>
      <c r="B31" s="65" t="s">
        <v>48</v>
      </c>
    </row>
    <row r="32" spans="1:2" ht="15.75">
      <c r="A32" s="53" t="s">
        <v>344</v>
      </c>
      <c r="B32" s="66"/>
    </row>
    <row r="33" spans="1:2" ht="12.75">
      <c r="A33" s="63" t="s">
        <v>345</v>
      </c>
      <c r="B33" s="65" t="s">
        <v>47</v>
      </c>
    </row>
    <row r="34" spans="1:2" ht="12.75">
      <c r="A34" s="63" t="s">
        <v>346</v>
      </c>
      <c r="B34" s="65" t="s">
        <v>47</v>
      </c>
    </row>
    <row r="35" spans="1:2" ht="12.75">
      <c r="A35" s="63" t="s">
        <v>347</v>
      </c>
      <c r="B35" s="65" t="s">
        <v>47</v>
      </c>
    </row>
    <row r="36" spans="1:2" ht="12.75">
      <c r="A36" s="63" t="s">
        <v>348</v>
      </c>
      <c r="B36" s="65" t="s">
        <v>47</v>
      </c>
    </row>
    <row r="37" spans="1:2" ht="12.75">
      <c r="A37" s="63" t="s">
        <v>349</v>
      </c>
      <c r="B37" s="65" t="s">
        <v>48</v>
      </c>
    </row>
    <row r="38" spans="1:2" ht="12.75">
      <c r="A38" s="63" t="s">
        <v>350</v>
      </c>
      <c r="B38" s="65" t="s">
        <v>47</v>
      </c>
    </row>
    <row r="39" spans="1:2" ht="15.75">
      <c r="A39" s="53" t="s">
        <v>352</v>
      </c>
      <c r="B39" s="65">
        <v>6553</v>
      </c>
    </row>
    <row r="40" spans="1:4" ht="12.75">
      <c r="A40" s="63" t="s">
        <v>351</v>
      </c>
      <c r="B40" s="65">
        <v>3297</v>
      </c>
      <c r="C40" s="68" t="str">
        <f>IF(C41="","","Proyección anual")</f>
        <v>Proyección anual</v>
      </c>
      <c r="D40" s="69"/>
    </row>
    <row r="41" spans="1:3" ht="12.75">
      <c r="A41" s="63" t="s">
        <v>353</v>
      </c>
      <c r="B41" s="65">
        <v>5.43</v>
      </c>
      <c r="C41" s="62">
        <f>IF(B40="","",IF(B41="","",12*B40/B41))</f>
        <v>7286.187845303868</v>
      </c>
    </row>
    <row r="42" spans="1:3" ht="12.75">
      <c r="A42" s="63" t="s">
        <v>354</v>
      </c>
      <c r="B42" s="65">
        <v>21.4</v>
      </c>
      <c r="C42" s="66">
        <f>IF(B42="","",IF(B39="","",INT(B42*B39/100)))</f>
        <v>1402</v>
      </c>
    </row>
    <row r="43" spans="1:2" ht="12.75">
      <c r="A43" s="63" t="s">
        <v>355</v>
      </c>
      <c r="B43" s="65">
        <v>36.6</v>
      </c>
    </row>
    <row r="44" spans="1:2" ht="12.75">
      <c r="A44" s="63" t="s">
        <v>356</v>
      </c>
      <c r="B44" s="65">
        <v>76.6</v>
      </c>
    </row>
    <row r="45" spans="1:4" ht="12.75">
      <c r="A45" s="63" t="s">
        <v>357</v>
      </c>
      <c r="B45" s="65">
        <v>14</v>
      </c>
      <c r="C45" s="66">
        <f>IF(B45="","",IF(B39="","",INT(B45*C42/365)))</f>
        <v>53</v>
      </c>
      <c r="D45" s="70" t="str">
        <f>IF(C42="","","censo diario")</f>
        <v>censo diario</v>
      </c>
    </row>
    <row r="46" spans="1:3" ht="12.75">
      <c r="A46" s="63" t="s">
        <v>384</v>
      </c>
      <c r="B46" s="65">
        <v>9.77</v>
      </c>
      <c r="C46" s="62">
        <v>4.75</v>
      </c>
    </row>
    <row r="47" spans="1:2" ht="12.75">
      <c r="A47" s="63" t="s">
        <v>385</v>
      </c>
      <c r="B47" s="65">
        <v>1.52</v>
      </c>
    </row>
    <row r="48" spans="1:2" ht="12.75">
      <c r="A48" s="63" t="s">
        <v>386</v>
      </c>
      <c r="B48" s="65">
        <v>8.24</v>
      </c>
    </row>
    <row r="49" spans="1:2" ht="12.75">
      <c r="A49" s="63" t="s">
        <v>358</v>
      </c>
      <c r="B49" s="65" t="s">
        <v>47</v>
      </c>
    </row>
    <row r="50" spans="1:3" ht="12.75">
      <c r="A50" s="63" t="s">
        <v>359</v>
      </c>
      <c r="B50" s="65">
        <v>10.3</v>
      </c>
      <c r="C50" s="66">
        <f>IF(B50="","",INT(B50*B39/100))</f>
        <v>674</v>
      </c>
    </row>
    <row r="51" spans="1:3" ht="12.75">
      <c r="A51" s="63" t="s">
        <v>360</v>
      </c>
      <c r="B51" s="65">
        <v>1.9</v>
      </c>
      <c r="C51" s="66">
        <f>IF(B51="","",INT(B51*B39/100))</f>
        <v>124</v>
      </c>
    </row>
    <row r="52" spans="1:2" ht="12.75">
      <c r="A52" s="63" t="s">
        <v>361</v>
      </c>
      <c r="B52" s="65" t="s">
        <v>47</v>
      </c>
    </row>
    <row r="53" spans="1:2" ht="12.75">
      <c r="A53" s="63" t="s">
        <v>362</v>
      </c>
      <c r="B53" s="65" t="s">
        <v>47</v>
      </c>
    </row>
    <row r="54" spans="1:2" ht="12.75">
      <c r="A54" s="63" t="s">
        <v>363</v>
      </c>
      <c r="B54" s="65" t="s">
        <v>47</v>
      </c>
    </row>
    <row r="55" spans="1:2" ht="12.75">
      <c r="A55" s="63" t="s">
        <v>364</v>
      </c>
      <c r="B55" s="65" t="s">
        <v>47</v>
      </c>
    </row>
    <row r="56" spans="1:4" ht="12.75">
      <c r="A56" s="63" t="s">
        <v>365</v>
      </c>
      <c r="B56" s="65">
        <v>10</v>
      </c>
      <c r="C56" s="168" t="str">
        <f>IF(B56="","","1 cada "&amp;INT($B$39/B56)&amp;" RN")</f>
        <v>1 cada 655 RN</v>
      </c>
      <c r="D56" s="168"/>
    </row>
    <row r="57" spans="1:2" ht="18">
      <c r="A57" s="54" t="s">
        <v>366</v>
      </c>
      <c r="B57" s="66"/>
    </row>
    <row r="58" spans="1:4" ht="12.75">
      <c r="A58" s="63" t="s">
        <v>367</v>
      </c>
      <c r="B58" s="65">
        <v>12</v>
      </c>
      <c r="C58" s="168" t="str">
        <f>IF(B58="","","1 cada "&amp;INT($B$39/B58)&amp;" RN")</f>
        <v>1 cada 546 RN</v>
      </c>
      <c r="D58" s="168"/>
    </row>
    <row r="59" spans="1:4" ht="12.75">
      <c r="A59" s="63" t="s">
        <v>368</v>
      </c>
      <c r="B59" s="65">
        <v>14</v>
      </c>
      <c r="C59" s="168" t="str">
        <f>IF(B59="","","1 cada "&amp;INT($B$39/B59)&amp;" RN")</f>
        <v>1 cada 468 RN</v>
      </c>
      <c r="D59" s="168"/>
    </row>
    <row r="60" spans="1:4" ht="12.75">
      <c r="A60" s="63" t="s">
        <v>369</v>
      </c>
      <c r="B60" s="65">
        <v>45</v>
      </c>
      <c r="C60" s="168" t="str">
        <f>IF(B60="","","1 cada "&amp;INT($B$39/B60)&amp;" RN")</f>
        <v>1 cada 145 RN</v>
      </c>
      <c r="D60" s="168"/>
    </row>
    <row r="61" spans="1:4" ht="12.75">
      <c r="A61" s="63" t="s">
        <v>370</v>
      </c>
      <c r="B61" s="65">
        <v>70</v>
      </c>
      <c r="C61" s="168" t="str">
        <f>IF(B61="","","1 cada "&amp;INT($B$39/B61)&amp;" RN")</f>
        <v>1 cada 93 RN</v>
      </c>
      <c r="D61" s="168"/>
    </row>
    <row r="62" spans="1:4" ht="12.75">
      <c r="A62" s="63" t="s">
        <v>371</v>
      </c>
      <c r="B62" s="65">
        <v>4</v>
      </c>
      <c r="C62" s="168" t="str">
        <f>IF(B62="","","1 cada "&amp;INT($B$39/B62)&amp;" RN")</f>
        <v>1 cada 1638 RN</v>
      </c>
      <c r="D62" s="168"/>
    </row>
    <row r="63" spans="1:4" ht="18">
      <c r="A63" s="54" t="s">
        <v>372</v>
      </c>
      <c r="B63" s="66"/>
      <c r="C63" s="68"/>
      <c r="D63" s="69"/>
    </row>
    <row r="64" spans="1:4" ht="12.75">
      <c r="A64" s="63" t="s">
        <v>373</v>
      </c>
      <c r="B64" s="65">
        <v>20</v>
      </c>
      <c r="C64" s="168" t="str">
        <f aca="true" t="shared" si="0" ref="C64:C72">IF(B64="","","1 cada "&amp;INT($B$39/B64)&amp;" RN")</f>
        <v>1 cada 327 RN</v>
      </c>
      <c r="D64" s="168"/>
    </row>
    <row r="65" spans="1:4" ht="12.75">
      <c r="A65" s="63" t="s">
        <v>374</v>
      </c>
      <c r="B65" s="65">
        <v>7</v>
      </c>
      <c r="C65" s="168" t="str">
        <f t="shared" si="0"/>
        <v>1 cada 936 RN</v>
      </c>
      <c r="D65" s="168"/>
    </row>
    <row r="66" spans="1:4" ht="12.75">
      <c r="A66" s="63" t="s">
        <v>375</v>
      </c>
      <c r="B66" s="65">
        <v>26</v>
      </c>
      <c r="C66" s="168" t="str">
        <f t="shared" si="0"/>
        <v>1 cada 252 RN</v>
      </c>
      <c r="D66" s="168"/>
    </row>
    <row r="67" spans="1:4" ht="12.75">
      <c r="A67" s="63" t="s">
        <v>376</v>
      </c>
      <c r="B67" s="65">
        <v>11</v>
      </c>
      <c r="C67" s="168" t="str">
        <f t="shared" si="0"/>
        <v>1 cada 595 RN</v>
      </c>
      <c r="D67" s="168"/>
    </row>
    <row r="68" spans="1:4" ht="12.75">
      <c r="A68" s="63" t="s">
        <v>377</v>
      </c>
      <c r="B68" s="65">
        <v>8</v>
      </c>
      <c r="C68" s="168" t="str">
        <f t="shared" si="0"/>
        <v>1 cada 819 RN</v>
      </c>
      <c r="D68" s="168"/>
    </row>
    <row r="69" spans="1:4" ht="12.75">
      <c r="A69" s="63" t="s">
        <v>378</v>
      </c>
      <c r="B69" s="65">
        <v>2</v>
      </c>
      <c r="C69" s="168" t="str">
        <f t="shared" si="0"/>
        <v>1 cada 3276 RN</v>
      </c>
      <c r="D69" s="168"/>
    </row>
    <row r="70" spans="1:4" ht="12.75">
      <c r="A70" s="63" t="s">
        <v>379</v>
      </c>
      <c r="B70" s="65">
        <v>1</v>
      </c>
      <c r="C70" s="168" t="str">
        <f t="shared" si="0"/>
        <v>1 cada 6553 RN</v>
      </c>
      <c r="D70" s="168"/>
    </row>
    <row r="71" spans="1:4" ht="12.75">
      <c r="A71" s="63" t="s">
        <v>380</v>
      </c>
      <c r="B71" s="65">
        <v>35</v>
      </c>
      <c r="C71" s="168" t="str">
        <f t="shared" si="0"/>
        <v>1 cada 187 RN</v>
      </c>
      <c r="D71" s="168"/>
    </row>
    <row r="72" spans="1:4" ht="12.75">
      <c r="A72" s="63" t="s">
        <v>381</v>
      </c>
      <c r="B72" s="65">
        <v>18</v>
      </c>
      <c r="C72" s="168" t="str">
        <f t="shared" si="0"/>
        <v>1 cada 364 RN</v>
      </c>
      <c r="D72" s="168"/>
    </row>
    <row r="73" spans="1:4" ht="12.75">
      <c r="A73" s="71" t="s">
        <v>382</v>
      </c>
      <c r="B73" s="72">
        <v>1</v>
      </c>
      <c r="C73" s="172"/>
      <c r="D73" s="173"/>
    </row>
    <row r="74" spans="1:4" ht="18">
      <c r="A74" s="174" t="s">
        <v>383</v>
      </c>
      <c r="B74" s="174"/>
      <c r="C74" s="174"/>
      <c r="D74" s="174"/>
    </row>
    <row r="75" spans="1:4" ht="136.5" customHeight="1">
      <c r="A75" s="154" t="s">
        <v>424</v>
      </c>
      <c r="B75" s="155"/>
      <c r="C75" s="155"/>
      <c r="D75" s="169"/>
    </row>
    <row r="76" spans="1:4" ht="156" customHeight="1">
      <c r="A76" s="170" t="s">
        <v>425</v>
      </c>
      <c r="B76" s="171"/>
      <c r="C76" s="171"/>
      <c r="D76" s="171"/>
    </row>
    <row r="77" spans="1:4" ht="44.25" customHeight="1">
      <c r="A77" s="170" t="s">
        <v>426</v>
      </c>
      <c r="B77" s="171"/>
      <c r="C77" s="171"/>
      <c r="D77" s="171"/>
    </row>
    <row r="80" ht="12.75"/>
    <row r="81" ht="12.75"/>
  </sheetData>
  <sheetProtection password="DF15" sheet="1" objects="1" scenarios="1"/>
  <mergeCells count="23">
    <mergeCell ref="C59:D59"/>
    <mergeCell ref="C56:D56"/>
    <mergeCell ref="C60:D60"/>
    <mergeCell ref="A1:C1"/>
    <mergeCell ref="B5:C5"/>
    <mergeCell ref="B6:C6"/>
    <mergeCell ref="C58:D58"/>
    <mergeCell ref="C65:D65"/>
    <mergeCell ref="C66:D66"/>
    <mergeCell ref="C72:D72"/>
    <mergeCell ref="C62:D62"/>
    <mergeCell ref="C68:D68"/>
    <mergeCell ref="C67:D67"/>
    <mergeCell ref="C61:D61"/>
    <mergeCell ref="A75:D75"/>
    <mergeCell ref="A76:D76"/>
    <mergeCell ref="A77:D77"/>
    <mergeCell ref="C69:D69"/>
    <mergeCell ref="C70:D70"/>
    <mergeCell ref="C71:D71"/>
    <mergeCell ref="C73:D73"/>
    <mergeCell ref="A74:D74"/>
    <mergeCell ref="C64:D64"/>
  </mergeCells>
  <printOptions horizontalCentered="1"/>
  <pageMargins left="0.7874015748031497" right="0.7874015748031497" top="0.984251968503937" bottom="0.984251968503937" header="0" footer="0"/>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C16"/>
  <sheetViews>
    <sheetView showGridLines="0" workbookViewId="0" topLeftCell="A1">
      <selection activeCell="B4" sqref="B4"/>
    </sheetView>
  </sheetViews>
  <sheetFormatPr defaultColWidth="11.421875" defaultRowHeight="12.75"/>
  <cols>
    <col min="1" max="1" width="32.28125" style="56" customWidth="1"/>
    <col min="2" max="2" width="21.00390625" style="56" customWidth="1"/>
    <col min="3" max="3" width="29.8515625" style="56" customWidth="1"/>
    <col min="4" max="4" width="20.8515625" style="56" customWidth="1"/>
    <col min="5" max="16384" width="11.421875" style="56" customWidth="1"/>
  </cols>
  <sheetData>
    <row r="1" spans="1:3" ht="18">
      <c r="A1" s="156" t="s">
        <v>159</v>
      </c>
      <c r="B1" s="157"/>
      <c r="C1" s="158"/>
    </row>
    <row r="2" spans="1:3" ht="14.25">
      <c r="A2" s="57" t="s">
        <v>164</v>
      </c>
      <c r="B2" s="58"/>
      <c r="C2" s="59"/>
    </row>
    <row r="3" spans="1:3" ht="14.25">
      <c r="A3" s="6" t="s">
        <v>107</v>
      </c>
      <c r="B3" s="58"/>
      <c r="C3" s="59"/>
    </row>
    <row r="4" spans="1:3" ht="14.25">
      <c r="A4" s="6"/>
      <c r="B4" s="58"/>
      <c r="C4" s="59"/>
    </row>
    <row r="5" spans="1:3" ht="15">
      <c r="A5" s="52" t="s">
        <v>324</v>
      </c>
      <c r="B5" s="175" t="str">
        <f>'Ingreso de datos'!A422</f>
        <v>HMI R. Sardá</v>
      </c>
      <c r="C5" s="176"/>
    </row>
    <row r="6" spans="1:3" ht="15">
      <c r="A6" s="52" t="s">
        <v>417</v>
      </c>
      <c r="B6" s="175" t="str">
        <f>'Ingreso de datos'!A420</f>
        <v>Dr. A. Miguel Larguía, Dr. Diego S. Enriquez</v>
      </c>
      <c r="C6" s="176"/>
    </row>
    <row r="7" spans="1:3" ht="15">
      <c r="A7" s="52"/>
      <c r="B7" s="60"/>
      <c r="C7" s="61"/>
    </row>
    <row r="8" spans="1:3" ht="12.75">
      <c r="A8" s="63"/>
      <c r="B8" s="66" t="s">
        <v>421</v>
      </c>
      <c r="C8" s="66" t="s">
        <v>262</v>
      </c>
    </row>
    <row r="9" spans="1:3" ht="15.75">
      <c r="A9" s="53" t="s">
        <v>327</v>
      </c>
      <c r="B9" s="66">
        <f>Numérico!D18*(4.5*12)</f>
        <v>55512</v>
      </c>
      <c r="C9" s="125">
        <f>B9/Numérico!B39</f>
        <v>8.4712345490615</v>
      </c>
    </row>
    <row r="11" spans="1:3" ht="15.75">
      <c r="A11" s="53" t="s">
        <v>422</v>
      </c>
      <c r="B11" s="66">
        <f>Numérico!D23</f>
        <v>96</v>
      </c>
      <c r="C11" s="126" t="str">
        <f>" 1 cada "&amp;INT(Numérico!$B$39/B11)&amp;" RN "</f>
        <v> 1 cada 68 RN </v>
      </c>
    </row>
    <row r="12" ht="12.75">
      <c r="B12" s="62"/>
    </row>
    <row r="13" spans="1:3" ht="15.75">
      <c r="A13" s="53" t="s">
        <v>341</v>
      </c>
      <c r="B13" s="66">
        <f>Numérico!D29</f>
        <v>8</v>
      </c>
      <c r="C13" s="126" t="str">
        <f>" 1 cada "&amp;INT(Numérico!$B$39/B13)&amp;" RN "</f>
        <v> 1 cada 819 RN </v>
      </c>
    </row>
    <row r="16" spans="1:3" ht="12.75">
      <c r="A16" s="56" t="s">
        <v>423</v>
      </c>
      <c r="C16" s="126">
        <f>Numérico!B47*100/Numérico!B46</f>
        <v>15.557830092118731</v>
      </c>
    </row>
  </sheetData>
  <mergeCells count="3">
    <mergeCell ref="A1:C1"/>
    <mergeCell ref="B5:C5"/>
    <mergeCell ref="B6:C6"/>
  </mergeCells>
  <printOptions/>
  <pageMargins left="0.75" right="0.75" top="1" bottom="1" header="0" footer="0"/>
  <pageSetup horizontalDpi="300" verticalDpi="300" orientation="portrait" r:id="rId2"/>
  <legacyDrawing r:id="rId1"/>
</worksheet>
</file>

<file path=xl/worksheets/sheet6.xml><?xml version="1.0" encoding="utf-8"?>
<worksheet xmlns="http://schemas.openxmlformats.org/spreadsheetml/2006/main" xmlns:r="http://schemas.openxmlformats.org/officeDocument/2006/relationships">
  <sheetPr codeName="Hoja6"/>
  <dimension ref="A1:F110"/>
  <sheetViews>
    <sheetView showGridLines="0" workbookViewId="0" topLeftCell="A1">
      <selection activeCell="A5" sqref="A5"/>
    </sheetView>
  </sheetViews>
  <sheetFormatPr defaultColWidth="11.421875" defaultRowHeight="12.75"/>
  <cols>
    <col min="1" max="1" width="28.7109375" style="142" customWidth="1"/>
    <col min="2" max="3" width="11.421875" style="142" customWidth="1"/>
    <col min="4" max="4" width="12.28125" style="142" customWidth="1"/>
    <col min="5" max="16384" width="11.421875" style="142" customWidth="1"/>
  </cols>
  <sheetData>
    <row r="1" spans="1:6" s="127" customFormat="1" ht="58.5" customHeight="1">
      <c r="A1" s="180" t="s">
        <v>160</v>
      </c>
      <c r="B1" s="181"/>
      <c r="C1" s="181"/>
      <c r="D1" s="181"/>
      <c r="E1" s="181"/>
      <c r="F1" s="182"/>
    </row>
    <row r="2" s="127" customFormat="1" ht="10.5" customHeight="1"/>
    <row r="3" spans="1:6" s="128" customFormat="1" ht="18" customHeight="1">
      <c r="A3" s="187" t="s">
        <v>76</v>
      </c>
      <c r="B3" s="188"/>
      <c r="C3" s="188"/>
      <c r="D3" s="189"/>
      <c r="E3" s="183"/>
      <c r="F3" s="183"/>
    </row>
    <row r="4" spans="1:6" s="128" customFormat="1" ht="16.5" customHeight="1">
      <c r="A4" s="184" t="s">
        <v>107</v>
      </c>
      <c r="B4" s="185"/>
      <c r="C4" s="185"/>
      <c r="D4" s="186"/>
      <c r="E4" s="183"/>
      <c r="F4" s="183"/>
    </row>
    <row r="5" ht="12.75"/>
    <row r="6" spans="1:6" s="129" customFormat="1" ht="12.75">
      <c r="A6" s="177" t="s">
        <v>416</v>
      </c>
      <c r="B6" s="178"/>
      <c r="C6" s="178"/>
      <c r="D6" s="178"/>
      <c r="E6" s="178"/>
      <c r="F6" s="179"/>
    </row>
    <row r="7" ht="12.75"/>
    <row r="8" spans="1:5" s="129" customFormat="1" ht="12.75">
      <c r="A8" s="130" t="s">
        <v>418</v>
      </c>
      <c r="B8" s="131" t="str">
        <f>Informe!C8</f>
        <v>HMI R. Sardá</v>
      </c>
      <c r="C8" s="132"/>
      <c r="D8" s="133" t="s">
        <v>267</v>
      </c>
      <c r="E8" s="134">
        <f>Informe!F7</f>
        <v>38792</v>
      </c>
    </row>
    <row r="9" spans="1:3" s="128" customFormat="1" ht="12.75">
      <c r="A9" s="130" t="s">
        <v>266</v>
      </c>
      <c r="B9" s="135" t="str">
        <f>Informe!C9</f>
        <v>Dr. A. Miguel Larguía, Dr. Diego S. Enriquez</v>
      </c>
      <c r="C9" s="136"/>
    </row>
    <row r="10" spans="1:3" s="128" customFormat="1" ht="18" customHeight="1">
      <c r="A10" s="136"/>
      <c r="B10" s="137"/>
      <c r="C10" s="136"/>
    </row>
    <row r="11" spans="1:6" ht="12.75">
      <c r="A11" s="138" t="s">
        <v>268</v>
      </c>
      <c r="B11" s="139">
        <f>Informe!C11</f>
        <v>82.78388278388277</v>
      </c>
      <c r="C11" s="140" t="s">
        <v>284</v>
      </c>
      <c r="D11" s="140" t="s">
        <v>221</v>
      </c>
      <c r="E11" s="140"/>
      <c r="F11" s="141"/>
    </row>
    <row r="12" spans="1:3" ht="12.75">
      <c r="A12" s="143"/>
      <c r="B12" s="144"/>
      <c r="C12" s="143"/>
    </row>
    <row r="13" spans="1:3" ht="12.75">
      <c r="A13" s="143"/>
      <c r="B13" s="144"/>
      <c r="C13" s="143"/>
    </row>
    <row r="14" spans="1:3" ht="12.75">
      <c r="A14" s="143"/>
      <c r="B14" s="144"/>
      <c r="C14" s="143"/>
    </row>
    <row r="15" spans="1:3" ht="12.75">
      <c r="A15" s="143"/>
      <c r="B15" s="144"/>
      <c r="C15" s="143"/>
    </row>
    <row r="16" spans="1:3" ht="12.75">
      <c r="A16" s="143"/>
      <c r="B16" s="144"/>
      <c r="C16" s="143"/>
    </row>
    <row r="17" spans="1:3" ht="12.75">
      <c r="A17" s="143"/>
      <c r="B17" s="143"/>
      <c r="C17" s="143"/>
    </row>
    <row r="18" spans="1:3" ht="12.75">
      <c r="A18" s="143"/>
      <c r="B18" s="143"/>
      <c r="C18" s="143"/>
    </row>
    <row r="19" spans="1:3" ht="12.75">
      <c r="A19" s="145"/>
      <c r="B19" s="146"/>
      <c r="C19" s="143"/>
    </row>
    <row r="20" spans="1:3" ht="12.75">
      <c r="A20" s="143"/>
      <c r="B20" s="143"/>
      <c r="C20" s="143"/>
    </row>
    <row r="21" spans="1:3" ht="12.75">
      <c r="A21" s="143"/>
      <c r="B21" s="143"/>
      <c r="C21" s="143"/>
    </row>
    <row r="22" spans="1:3" ht="12.75">
      <c r="A22" s="143"/>
      <c r="B22" s="144"/>
      <c r="C22" s="143"/>
    </row>
    <row r="23" spans="1:3" ht="12.75">
      <c r="A23" s="143"/>
      <c r="B23" s="143"/>
      <c r="C23" s="143"/>
    </row>
    <row r="24" spans="1:3" ht="12.75">
      <c r="A24" s="143"/>
      <c r="B24" s="144"/>
      <c r="C24" s="143"/>
    </row>
    <row r="25" spans="1:3" ht="12.75">
      <c r="A25" s="143"/>
      <c r="B25" s="143"/>
      <c r="C25" s="143"/>
    </row>
    <row r="26" spans="1:3" ht="12.75">
      <c r="A26" s="143"/>
      <c r="B26" s="143"/>
      <c r="C26" s="143"/>
    </row>
    <row r="27" spans="1:3" ht="12.75">
      <c r="A27" s="145"/>
      <c r="B27" s="146"/>
      <c r="C27" s="143"/>
    </row>
    <row r="28" spans="1:3" ht="12.75">
      <c r="A28" s="143"/>
      <c r="B28" s="144"/>
      <c r="C28" s="143"/>
    </row>
    <row r="29" spans="1:3" ht="12.75">
      <c r="A29" s="143"/>
      <c r="B29" s="144"/>
      <c r="C29" s="143"/>
    </row>
    <row r="30" spans="1:3" ht="12.75">
      <c r="A30" s="143"/>
      <c r="B30" s="144"/>
      <c r="C30" s="143"/>
    </row>
    <row r="31" spans="1:3" ht="12.75">
      <c r="A31" s="143"/>
      <c r="B31" s="143"/>
      <c r="C31" s="143"/>
    </row>
    <row r="32" ht="12.75"/>
    <row r="33" spans="1:3" ht="12.75">
      <c r="A33" s="145"/>
      <c r="B33" s="146"/>
      <c r="C33" s="143"/>
    </row>
    <row r="34" spans="1:3" ht="12.75" customHeight="1">
      <c r="A34" s="143"/>
      <c r="B34" s="143"/>
      <c r="C34" s="143"/>
    </row>
    <row r="35" spans="1:6" ht="12.75">
      <c r="A35" s="147" t="s">
        <v>276</v>
      </c>
      <c r="B35" s="148">
        <f>Informe!C22</f>
        <v>71.875</v>
      </c>
      <c r="C35" s="140" t="s">
        <v>284</v>
      </c>
      <c r="D35" s="140" t="s">
        <v>221</v>
      </c>
      <c r="E35" s="140"/>
      <c r="F35" s="141"/>
    </row>
    <row r="36" spans="1:3" ht="12.75">
      <c r="A36" s="143"/>
      <c r="B36" s="144"/>
      <c r="C36" s="143"/>
    </row>
    <row r="37" spans="1:3" ht="12.75">
      <c r="A37" s="143"/>
      <c r="B37" s="143"/>
      <c r="C37" s="143"/>
    </row>
    <row r="38" spans="1:3" ht="12.75">
      <c r="A38" s="143"/>
      <c r="B38" s="143"/>
      <c r="C38" s="143"/>
    </row>
    <row r="39" spans="1:3" ht="12.75">
      <c r="A39" s="145"/>
      <c r="B39" s="146"/>
      <c r="C39" s="143"/>
    </row>
    <row r="40" spans="1:3" ht="12.75">
      <c r="A40" s="143"/>
      <c r="B40" s="144"/>
      <c r="C40" s="143"/>
    </row>
    <row r="41" spans="1:3" ht="12.75">
      <c r="A41" s="143"/>
      <c r="B41" s="144"/>
      <c r="C41" s="143"/>
    </row>
    <row r="42" spans="1:3" ht="12.75">
      <c r="A42" s="149"/>
      <c r="B42" s="144"/>
      <c r="C42" s="143"/>
    </row>
    <row r="43" spans="1:3" ht="12.75">
      <c r="A43" s="143"/>
      <c r="B43" s="144"/>
      <c r="C43" s="143"/>
    </row>
    <row r="44" spans="1:3" ht="12.75">
      <c r="A44" s="143"/>
      <c r="B44" s="143"/>
      <c r="C44" s="143"/>
    </row>
    <row r="45" spans="1:3" ht="12.75">
      <c r="A45" s="143"/>
      <c r="B45" s="143"/>
      <c r="C45" s="143"/>
    </row>
    <row r="46" spans="1:3" ht="12.75">
      <c r="A46" s="143"/>
      <c r="B46" s="143"/>
      <c r="C46" s="143"/>
    </row>
    <row r="47" spans="1:3" ht="12.75">
      <c r="A47" s="143"/>
      <c r="B47" s="143"/>
      <c r="C47" s="143"/>
    </row>
    <row r="48" spans="1:3" ht="12.75">
      <c r="A48" s="143"/>
      <c r="B48" s="143"/>
      <c r="C48" s="143"/>
    </row>
    <row r="49" spans="1:3" ht="12.75">
      <c r="A49" s="143"/>
      <c r="B49" s="143"/>
      <c r="C49" s="143"/>
    </row>
    <row r="50" spans="1:2" ht="10.5" customHeight="1">
      <c r="A50" s="143"/>
      <c r="B50" s="143"/>
    </row>
    <row r="51" spans="1:2" ht="3.75" customHeight="1" hidden="1">
      <c r="A51" s="143"/>
      <c r="B51" s="143"/>
    </row>
    <row r="52" spans="1:2" ht="12.75" hidden="1">
      <c r="A52" s="143"/>
      <c r="B52" s="143"/>
    </row>
    <row r="53" spans="1:2" ht="12.75" hidden="1">
      <c r="A53" s="143"/>
      <c r="B53" s="143"/>
    </row>
    <row r="54" spans="1:2" ht="12.75" hidden="1">
      <c r="A54" s="143"/>
      <c r="B54" s="143"/>
    </row>
    <row r="55" spans="1:2" ht="12.75" hidden="1">
      <c r="A55" s="143"/>
      <c r="B55" s="143"/>
    </row>
    <row r="56" spans="1:2" ht="13.5" customHeight="1" hidden="1">
      <c r="A56" s="143"/>
      <c r="B56" s="143"/>
    </row>
    <row r="57" spans="1:2" ht="9" customHeight="1" hidden="1">
      <c r="A57" s="143"/>
      <c r="B57" s="143"/>
    </row>
    <row r="58" spans="1:2" ht="11.25" customHeight="1" hidden="1">
      <c r="A58" s="143"/>
      <c r="B58" s="143"/>
    </row>
    <row r="59" spans="1:2" ht="12.75">
      <c r="A59" s="143"/>
      <c r="B59" s="143"/>
    </row>
    <row r="60" ht="12.75"/>
    <row r="61" spans="1:2" ht="12.75">
      <c r="A61" s="143"/>
      <c r="B61" s="143"/>
    </row>
    <row r="62" spans="1:2" ht="12.75">
      <c r="A62" s="143"/>
      <c r="B62" s="143"/>
    </row>
    <row r="63" spans="1:2" ht="12.75">
      <c r="A63" s="143"/>
      <c r="B63" s="143"/>
    </row>
    <row r="64" spans="1:2" ht="12.75">
      <c r="A64" s="143"/>
      <c r="B64" s="143"/>
    </row>
    <row r="65" ht="12.75"/>
    <row r="66" ht="12.75"/>
    <row r="67" ht="12.75"/>
    <row r="68" ht="12.75"/>
    <row r="69" spans="1:6" ht="12.75">
      <c r="A69" s="147" t="s">
        <v>278</v>
      </c>
      <c r="B69" s="148">
        <f>Informe!C38</f>
        <v>86.20689655172413</v>
      </c>
      <c r="C69" s="140" t="s">
        <v>284</v>
      </c>
      <c r="D69" s="140" t="s">
        <v>221</v>
      </c>
      <c r="E69" s="140"/>
      <c r="F69" s="141"/>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spans="1:6" ht="12.75">
      <c r="A89" s="138" t="str">
        <f>Informe!B30</f>
        <v>Recursos Humanos:</v>
      </c>
      <c r="B89" s="148">
        <f>Informe!C30</f>
        <v>69.04761904761905</v>
      </c>
      <c r="C89" s="140" t="s">
        <v>284</v>
      </c>
      <c r="D89" s="140" t="s">
        <v>221</v>
      </c>
      <c r="E89" s="140"/>
      <c r="F89" s="141"/>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spans="1:6" ht="12.75">
      <c r="A110" s="147" t="s">
        <v>278</v>
      </c>
      <c r="B110" s="148">
        <f>Informe!C38</f>
        <v>86.20689655172413</v>
      </c>
      <c r="C110" s="140" t="s">
        <v>284</v>
      </c>
      <c r="D110" s="140" t="s">
        <v>221</v>
      </c>
      <c r="E110" s="140"/>
      <c r="F110" s="141"/>
    </row>
    <row r="112" ht="12.75"/>
    <row r="113" ht="12.75"/>
    <row r="114" ht="12.75"/>
    <row r="115" ht="12.75"/>
    <row r="116" ht="12.75"/>
    <row r="117" ht="12.75"/>
    <row r="118" ht="12.75"/>
    <row r="119" ht="12.75"/>
    <row r="120" ht="12.75"/>
    <row r="121" ht="12.75"/>
    <row r="122" ht="12.75"/>
    <row r="123" ht="12.75"/>
    <row r="124" ht="12.75"/>
  </sheetData>
  <mergeCells count="5">
    <mergeCell ref="A6:F6"/>
    <mergeCell ref="A1:F1"/>
    <mergeCell ref="E3:F4"/>
    <mergeCell ref="A4:D4"/>
    <mergeCell ref="A3:D3"/>
  </mergeCells>
  <printOptions horizontalCentered="1" verticalCentered="1"/>
  <pageMargins left="0.75" right="0.75" top="1" bottom="1" header="0" footer="0"/>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Organización desconocida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KAN</dc:title>
  <dc:subject/>
  <dc:creator>Diego Enriquez</dc:creator>
  <cp:keywords/>
  <dc:description/>
  <cp:lastModifiedBy>x</cp:lastModifiedBy>
  <cp:lastPrinted>2004-07-01T01:27:05Z</cp:lastPrinted>
  <dcterms:created xsi:type="dcterms:W3CDTF">1999-11-18T11:45:05Z</dcterms:created>
  <dcterms:modified xsi:type="dcterms:W3CDTF">2006-03-16T14:35:57Z</dcterms:modified>
  <cp:category/>
  <cp:version/>
  <cp:contentType/>
  <cp:contentStatus/>
</cp:coreProperties>
</file>