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510" windowHeight="4080" tabRatio="726" firstSheet="2" activeTab="2"/>
  </bookViews>
  <sheets>
    <sheet name="Portada" sheetId="1" r:id="rId1"/>
    <sheet name="Instructivo" sheetId="2" r:id="rId2"/>
    <sheet name="Ingreso de datos" sheetId="3" r:id="rId3"/>
    <sheet name="Informe" sheetId="4" r:id="rId4"/>
    <sheet name="Recursos limitantes" sheetId="5" r:id="rId5"/>
    <sheet name="Numérico" sheetId="6" r:id="rId6"/>
    <sheet name="Graficos de n" sheetId="7" r:id="rId7"/>
    <sheet name="Gráficos" sheetId="8" r:id="rId8"/>
  </sheets>
  <definedNames/>
  <calcPr fullCalcOnLoad="1"/>
</workbook>
</file>

<file path=xl/comments3.xml><?xml version="1.0" encoding="utf-8"?>
<comments xmlns="http://schemas.openxmlformats.org/spreadsheetml/2006/main">
  <authors>
    <author>?</author>
  </authors>
  <commentList>
    <comment ref="A36" authorId="0">
      <text>
        <r>
          <rPr>
            <b/>
            <sz val="8"/>
            <rFont val="Tahoma"/>
            <family val="0"/>
          </rPr>
          <t>ç:</t>
        </r>
        <r>
          <rPr>
            <sz val="8"/>
            <rFont val="Tahoma"/>
            <family val="0"/>
          </rPr>
          <t xml:space="preserve">
Se enmtiende como libre comunicación, sin la necesidad de salir de
la institución </t>
        </r>
      </text>
    </comment>
    <comment ref="A97" authorId="0">
      <text>
        <r>
          <rPr>
            <b/>
            <sz val="8"/>
            <rFont val="Tahoma"/>
            <family val="0"/>
          </rPr>
          <t>ç:</t>
        </r>
        <r>
          <rPr>
            <sz val="8"/>
            <rFont val="Tahoma"/>
            <family val="0"/>
          </rPr>
          <t xml:space="preserve">
Vía unidireccional del drenaje hídrico</t>
        </r>
      </text>
    </comment>
    <comment ref="A202" authorId="0">
      <text>
        <r>
          <rPr>
            <b/>
            <sz val="8"/>
            <rFont val="Tahoma"/>
            <family val="0"/>
          </rPr>
          <t>ç:</t>
        </r>
        <r>
          <rPr>
            <sz val="8"/>
            <rFont val="Tahoma"/>
            <family val="0"/>
          </rPr>
          <t xml:space="preserve">
CPAP</t>
        </r>
      </text>
    </comment>
    <comment ref="A205" authorId="0">
      <text>
        <r>
          <rPr>
            <b/>
            <sz val="8"/>
            <rFont val="Tahoma"/>
            <family val="0"/>
          </rPr>
          <t>ç:</t>
        </r>
        <r>
          <rPr>
            <sz val="8"/>
            <rFont val="Tahoma"/>
            <family val="0"/>
          </rPr>
          <t xml:space="preserve">
Medidor de Fracción de Oxígeno entregada (por ejemplo en halos de O2)</t>
        </r>
      </text>
    </comment>
    <comment ref="A181" authorId="0">
      <text>
        <r>
          <rPr>
            <b/>
            <sz val="8"/>
            <rFont val="Tahoma"/>
            <family val="0"/>
          </rPr>
          <t>ç:</t>
        </r>
        <r>
          <rPr>
            <sz val="8"/>
            <rFont val="Tahoma"/>
            <family val="0"/>
          </rPr>
          <t xml:space="preserve">
PtcCO2, utilizado usualmente para asegurar hipercapnia permisiva</t>
        </r>
      </text>
    </comment>
  </commentList>
</comments>
</file>

<file path=xl/comments6.xml><?xml version="1.0" encoding="utf-8"?>
<comments xmlns="http://schemas.openxmlformats.org/spreadsheetml/2006/main">
  <authors>
    <author>Diego</author>
    <author>Diego Enriquez</author>
  </authors>
  <commentList>
    <comment ref="A49" authorId="0">
      <text>
        <r>
          <rPr>
            <sz val="8"/>
            <rFont val="Tahoma"/>
            <family val="0"/>
          </rPr>
          <t xml:space="preserve">Excluyendo &lt;500 gr y malformaciones letales
</t>
        </r>
      </text>
    </comment>
    <comment ref="A54" authorId="0">
      <text>
        <r>
          <rPr>
            <b/>
            <sz val="8"/>
            <rFont val="Tahoma"/>
            <family val="0"/>
          </rPr>
          <t>&lt; 7 días</t>
        </r>
      </text>
    </comment>
    <comment ref="A52" authorId="1">
      <text>
        <r>
          <rPr>
            <b/>
            <sz val="8"/>
            <rFont val="Tahoma"/>
            <family val="0"/>
          </rPr>
          <t>Diego Enriquez:</t>
        </r>
        <r>
          <rPr>
            <sz val="8"/>
            <rFont val="Tahoma"/>
            <family val="0"/>
          </rPr>
          <t xml:space="preserve">
Fallecidos inmediato al parto (apgar 1-0) que viven menos de 1 hora</t>
        </r>
      </text>
    </comment>
  </commentList>
</comments>
</file>

<file path=xl/sharedStrings.xml><?xml version="1.0" encoding="utf-8"?>
<sst xmlns="http://schemas.openxmlformats.org/spreadsheetml/2006/main" count="554" uniqueCount="458">
  <si>
    <t>% anual de RN con peso al nacer &lt; 1500 gr</t>
  </si>
  <si>
    <t>N° de PC:</t>
  </si>
  <si>
    <t>Disponibilidad de plazas en:</t>
  </si>
  <si>
    <t>Terapia intensiva:</t>
  </si>
  <si>
    <t>Terapia intermedia:</t>
  </si>
  <si>
    <t>Bajo riesgo</t>
  </si>
  <si>
    <t>Internación conjunta:</t>
  </si>
  <si>
    <t>Aislamiento:</t>
  </si>
  <si>
    <t>Equipamiento:</t>
  </si>
  <si>
    <t>Incubadoras:</t>
  </si>
  <si>
    <t>Servocunas:</t>
  </si>
  <si>
    <t>Saturómetros:</t>
  </si>
  <si>
    <t>Monitores de SV:</t>
  </si>
  <si>
    <t>Respiradores convencionales:</t>
  </si>
  <si>
    <t>Respiradores sincronizados:</t>
  </si>
  <si>
    <t>Respiradores alta frecuencia:</t>
  </si>
  <si>
    <t>Bombas:</t>
  </si>
  <si>
    <t>Equipos de LMT y spots:</t>
  </si>
  <si>
    <t>42. Area de preparación de soluciones parenterales y medicación en farmacia con fraccionamiento individualizado por paciente (dispensación central de dosis)</t>
  </si>
  <si>
    <t>43. Residencia para madres de RN internados en Servicios de neonatología dadas de alta del Servicio de Obstetricia</t>
  </si>
  <si>
    <t>44. Internación conjunta prealta de madres con hijos de alto riesgo (ex prematuros).</t>
  </si>
  <si>
    <t>Tasa de mortalidad excluyendo malformados</t>
  </si>
  <si>
    <t>Tasa de mortalidad excluyendo RN PN &lt; 750 gr</t>
  </si>
  <si>
    <t>FIP</t>
  </si>
  <si>
    <t>Equipos de RX:</t>
  </si>
  <si>
    <t>Propuestas:</t>
  </si>
  <si>
    <t>Tasa de mortalidad global (por mil)</t>
  </si>
  <si>
    <t>Tasa de mortalidad postneonatal (por mil)</t>
  </si>
  <si>
    <t>Tasa de mortalidad precoz (por mil):</t>
  </si>
  <si>
    <t>131. Bomba de aspiración negativa 1 por cada 3 respiradores (Puede reemplazarse por aspiración central regulable con manovacuometro)</t>
  </si>
  <si>
    <t>132. Oxímetros: 1 cada 6 incubadoras.</t>
  </si>
  <si>
    <t xml:space="preserve">133. Mezclador de gases 1 por cada  unidad </t>
  </si>
  <si>
    <t>134. Calentadores –Humedificadores: 1 por cada incubadora</t>
  </si>
  <si>
    <t>Recursos limitantes: todos los items se consideran relevantes.</t>
  </si>
  <si>
    <t>Capítulo 3: Recursos humanos</t>
  </si>
  <si>
    <t>Médicos</t>
  </si>
  <si>
    <t>Enfermeras</t>
  </si>
  <si>
    <t xml:space="preserve">Gráficos resultantes de la Guía </t>
  </si>
  <si>
    <t>Evaluador/es:</t>
  </si>
  <si>
    <t>Institución:</t>
  </si>
  <si>
    <t>Recursos limitantes no cumplidos</t>
  </si>
  <si>
    <t>Total horas anuales</t>
  </si>
  <si>
    <t>Enfermería:</t>
  </si>
  <si>
    <t>% de la mortalidad de los &gt;28 días sobre la mortalidad general</t>
  </si>
  <si>
    <t>Recursos limitantes: todos los items son válidos.</t>
  </si>
  <si>
    <t>Otro personal</t>
  </si>
  <si>
    <t>Recursos limitantes:  Todos los items son relevantes en Centros Perinatológicos terciarios o de alta complejidad.</t>
  </si>
  <si>
    <t>Capítulo IV: Servicios Complementarios</t>
  </si>
  <si>
    <t>A. Laboratorio</t>
  </si>
  <si>
    <t>Recursos limitantes: Todos los items son relevantes en Centros Perinatológicos terciarios o de alta complejidad.</t>
  </si>
  <si>
    <t>B. Diagnóstico por Imágenes</t>
  </si>
  <si>
    <t xml:space="preserve">Para la asistencia de RN Prematuros que superadas las etapas de cuidados intensivos y/o intermedios se encuentran en condiciones de recuperación nutricional hasta alcanzar  los requisitos para el alta de la Institución. Pueden encontrarse en cuna o incubadora con monitoreo. </t>
  </si>
  <si>
    <t xml:space="preserve">34. La superficie por paciente es de 2,8 m2 , como mínimo,y el de cada Sector  no es inferior     a 24 m2 </t>
  </si>
  <si>
    <t>41. Espacio reservado para conversar con los padres</t>
  </si>
  <si>
    <t>62. Posee provisión de otros gases (óxido nítrico, nitroso, helio, etc.)</t>
  </si>
  <si>
    <t>75. La compra de equipos se hace con el asesoramiento y participación del Jefe del Servicio y el /los expertos  reconocidos por él designados</t>
  </si>
  <si>
    <t>115. Tensiometro oscilométrico 1 cada  3 incubadoras</t>
  </si>
  <si>
    <t>129. Equipos de Presión Positiva Contínua tipo Hudson descartables (CPAP).</t>
  </si>
  <si>
    <t>136. Stock de medicamentos completos que cubra la dosificación por 24 hs. de atención de las patologías</t>
  </si>
  <si>
    <t>137. Stock de material descartable para uso en las  diferentes patologías durante las 24 hs.</t>
  </si>
  <si>
    <t>C. Hemoterapia</t>
  </si>
  <si>
    <t>Subtotal:</t>
  </si>
  <si>
    <t xml:space="preserve">Total Capítulo III: Recursos Humanos: </t>
  </si>
  <si>
    <t>Capítulo 1: Planta física</t>
  </si>
  <si>
    <t>Total Capítulo IV: Servicios Complementarios:</t>
  </si>
  <si>
    <t>Subtotal de Requisitos comunes a las tres Zonas:</t>
  </si>
  <si>
    <t>Total Capítulo V:Funcionamiento y Organización del Servicio</t>
  </si>
  <si>
    <t>TOTAL DE  LA GUIA:</t>
  </si>
  <si>
    <t>FUN</t>
  </si>
  <si>
    <t>Capítulo V: Funcionamiento y Organización del Servicio</t>
  </si>
  <si>
    <t>Requisitos comunes a las 3 Zonas</t>
  </si>
  <si>
    <t>1. Normatizaciones</t>
  </si>
  <si>
    <t>2. Organización de la Asistencia</t>
  </si>
  <si>
    <t>. factores de riego perinatal</t>
  </si>
  <si>
    <t>. estadísticas de morbimortalidad, según intervalos de peso y diferentes patologías</t>
  </si>
  <si>
    <t>. Satisfacción del usuario</t>
  </si>
  <si>
    <t>. Lactancia Materna</t>
  </si>
  <si>
    <t>Informe de la guía de evaluación de servicios de Neonatololgía</t>
  </si>
  <si>
    <t>3. Historia Clínica</t>
  </si>
  <si>
    <t>4 Comités de Docencia e Investigación y otros .</t>
  </si>
  <si>
    <t>N° enfermería:</t>
  </si>
  <si>
    <t>N° Mucamas:</t>
  </si>
  <si>
    <t>1. El Centro Obstétrico esta diseñado con la modalidad de Salas TPR Salas únicas de Trabajo de Parto, Parto y Recuperación.</t>
  </si>
  <si>
    <t xml:space="preserve">Para la asistencia de recién nacidos (RN) de baja complejidad que no requieren incubadoras, accesos endovasculares, monitores invasivos o medicación endovenosa. </t>
  </si>
  <si>
    <t>Incluye aquellos RN de Término con indicación de Luminoterapia por Hiperbilirrubinemia y a hijos de madres con patología que contraindica la Internación Conjunta. Debe estar organizada para permitir la activa participación de los padres.</t>
  </si>
  <si>
    <t>Incluye además a RN patológicos que deben completar estudios y/o tratamientos y a RN con altas diferidas por causas sociales, legales, etc. Puede estar organizado con sistema de “Canales” para agruparlos según peso de nacimiento ,etc.</t>
  </si>
  <si>
    <t xml:space="preserve">Para la asistencia de RN Prematuros y patológicos que requieren algún tipo de Monitoreo, Accesos Endovasculares (AEV), medicación antibiótica, drogas vasoactivas, control de presión arterial, saturometría, etc. </t>
  </si>
  <si>
    <t>Incluye además RN que salen de Terapia Intensiva por descomplejización de su asistencia o que son derivados de Crecimiento de Prematuros por patologías adquiridas: apneas, etc.</t>
  </si>
  <si>
    <t xml:space="preserve">Para la asistencia de RN Prematuros y patológicos con exigencias de alta complejidad, capaz de ofrecer </t>
  </si>
  <si>
    <t>Asistencia Respiratoria Mecánica (ARM), canalización de vasos umbilicales, colocación de líneas centrales, monitoreos invasivos, etc.</t>
  </si>
  <si>
    <t xml:space="preserve">  Subtotal</t>
  </si>
  <si>
    <t>. Resultados de  técnicas y procedimientos</t>
  </si>
  <si>
    <t>. Infección Intrahospitalaria</t>
  </si>
  <si>
    <t>.  Uso racional de insumos y materiales</t>
  </si>
  <si>
    <t>Subtotal</t>
  </si>
  <si>
    <t>Total del Capítulo I Planta Física</t>
  </si>
  <si>
    <t xml:space="preserve"> Subtotal</t>
  </si>
  <si>
    <t>Total Capítulo II Equipamiento e Instrumental:</t>
  </si>
  <si>
    <t>Celia Lomuto,  Enrique Colombo, Diego Enríquez</t>
  </si>
  <si>
    <t>A. Zonas de atención de RN en Sala de Parto e Internación Conjunta</t>
  </si>
  <si>
    <t>B. Zona de Cuidados Especiales Neonatales</t>
  </si>
  <si>
    <t>Los Servicios de Neonatología tienen tres grandes Zonas en su Planta Física</t>
  </si>
  <si>
    <t>A: Zona de atención del RN en Sala de Partos</t>
  </si>
  <si>
    <t>B: Zona de Internación Conjunta Madre-Hijo</t>
  </si>
  <si>
    <t>C: Zona de Cuidados Especiales o de Internación Neonatal.</t>
  </si>
  <si>
    <t xml:space="preserve"> Requisitos comunes a las tres Zonas:</t>
  </si>
  <si>
    <t>2.  La Sala de Partos, el Sector de Recepción-Reanimación para RN y la Internación Neonatal están en la misma planta y la comunicación entre ambas es horizontal</t>
  </si>
  <si>
    <t>3. Tienen comunicación directa, separadas de la circulación de otros sectores</t>
  </si>
  <si>
    <t>5. Poseen depósito en el área para instrumental, medicamentos, etc..</t>
  </si>
  <si>
    <t>6. Las tres Zonas tienen suficiente luz natural</t>
  </si>
  <si>
    <t>7. Las tres Zonas pueden mantener permanentemente una temperatura ambiental de 25-26 ºC</t>
  </si>
  <si>
    <t>8. Las tres Zonas se hallan adecuadamente señalizadas</t>
  </si>
  <si>
    <t>9. Existe una salida de emergencia que permite la fácil evacuación de las tres Zonas</t>
  </si>
  <si>
    <t>10. Existe equipo antiincendio reglamentario en las tres Zonas.</t>
  </si>
  <si>
    <t>11. Existen comunicaciones electrónicas y/o telefónicas entre las diferentes Zonas, el resto del centro asistencial y el exterior.</t>
  </si>
  <si>
    <t>A. Zona de atención del RN en Sala de Partos (.)</t>
  </si>
  <si>
    <t>13. Existe en el área de Sala de Partos y/o Quirófanos un sector ubicado fuera de las mismas destinado exclusivamente a la recepción y Reanimación del RN con una superficie no inferior a 6 m2</t>
  </si>
  <si>
    <t>14. Existe un Sector de Reanimación por cada 3 Salas de Partos o Quirófano</t>
  </si>
  <si>
    <t>15. El acceso al Sector Reanimación se encuentra dentro del área de acceso restringido y esta contiguo a la Sala de Trabajo de Parto, Sala de Partos y Quirófano o Sala TPR</t>
  </si>
  <si>
    <t>16. El Sector esta provisto de agua caliente las 24 hs. y se puede bañar al RN si es necesario</t>
  </si>
  <si>
    <t>Guía de evaluación de servicios de Neonatología</t>
  </si>
  <si>
    <t>Informe de la guía de evaluación de servicios de Neonatología</t>
  </si>
  <si>
    <t>65. Posee 2 bocas de oxígeno, 1 de aire y 1 de aspiración por cada plaza de Cuidado Intensivo</t>
  </si>
  <si>
    <t xml:space="preserve">90. Puede suministrarse oxígeno calentado y humidificado </t>
  </si>
  <si>
    <t>17. Cuenta con mesa o Servocuna de reanimación acolchada lavable, para examen y tratamiento de 2 RN en forma simultánea, con sistema de calorificación que asegure 37ºC sobre la misma.</t>
  </si>
  <si>
    <t>18. Cuenta con un mínimo de 2 bocas de oxígeno con flumiters/reductores, 1 de aspiración y 1 de aire comprimido</t>
  </si>
  <si>
    <t>19. Pueden realizarse en este Sector procedimientos complejos (drenaje de neumotórax, peritoneocentesis,  etc.)</t>
  </si>
  <si>
    <t>20. Posee instalación eléctrica adecuada (mínimo 6 enchufes)</t>
  </si>
  <si>
    <t>21. El sector se encuentra comunicado  con el Sector de Terapia Intensiva Neonatal.</t>
  </si>
  <si>
    <t>B. Zona de Internación Conjunta Madre-Hijo</t>
  </si>
  <si>
    <t>22. La internación conjunta se realiza en ambientes de 9 m2 como mínimo por cama con su cuna correspondiente</t>
  </si>
  <si>
    <t>23. La internación conjunta se realiza en Sectores en los que expresamente se intenta reproducir una ambientación hogareña</t>
  </si>
  <si>
    <t>24. El Sector tiene office exclusivo de enfermería</t>
  </si>
  <si>
    <t>25. Existe un lavabo por cada 4 RN</t>
  </si>
  <si>
    <t>26. Hay un recinto (aula) destinado a actividades relacionadas con educación para la salud</t>
  </si>
  <si>
    <t>27. Existe un sector para recepción de familiares</t>
  </si>
  <si>
    <t>B. Zona de Cuidados Especiales Neonatales  (Internación  Neonatológica)</t>
  </si>
  <si>
    <t>4. Los pisos y paredes, hasta 2,80 m son lavables en las tres Zonas.</t>
  </si>
  <si>
    <t>Constituye una Unidad Funcional que debe estar integrada por cuatro sectores de Internación diferenciada:</t>
  </si>
  <si>
    <t>1.- Cuidados Transicionales</t>
  </si>
  <si>
    <t>12. Cada una de las tres Zonas tiene comodidades para el lavado de manos</t>
  </si>
  <si>
    <t>2.- Crecimiento de Prematuros</t>
  </si>
  <si>
    <t>3.- Cuidados Intermedios</t>
  </si>
  <si>
    <t>4.- Cuidados Intensivos</t>
  </si>
  <si>
    <t>28. Los diferentes ambientes de la Zona de Internación constituyen una Unidad funcional aislada físicamente del resto y está dentro de un área de acceso restringido o semirrestringido controlado por Recepcionista</t>
  </si>
  <si>
    <t>29. Cuenta con antesala de recepción para padres y personal con 2 lavatorios, toalleros de papel, recipientes para residuos, percheros y armarios</t>
  </si>
  <si>
    <t>30. Exite Sala de Reunión para padres, abuelos y hermanos de los RN internados</t>
  </si>
  <si>
    <t>31. Los pasillos de circulación son amplios al igual que las puertas para permitir el paso de equipos de Ecografía, Radiología, etc.</t>
  </si>
  <si>
    <t>32. Todos los sectores cuentan con comodidades para la estadía de las madres con sillas suficientes</t>
  </si>
  <si>
    <t>33. Cuenta con estación de enfermería que se comunica con todos los ambientes y de 6 m2 como mínimo</t>
  </si>
  <si>
    <t>Dependencias del Sector</t>
  </si>
  <si>
    <t>35. Vestuario para el personal propio</t>
  </si>
  <si>
    <t>36. Sala de Trabajo para médicos</t>
  </si>
  <si>
    <t>37. Dormitorio de médicos internos en la misma planta</t>
  </si>
  <si>
    <t>38. Estación de lavado y preparación de materiales</t>
  </si>
  <si>
    <t>39. Cocina de leche con sector limpio y sucio con esterilización terminal o que utilice formulas estériles</t>
  </si>
  <si>
    <t>40. Lactario de leche humana con comodidad para la higiene de las madres y la extracción manual/ mecánica de su leche</t>
  </si>
  <si>
    <t>45. Sala de procedimientos</t>
  </si>
  <si>
    <t>46. Sala de observación/aislamiento para sospechosos de infección</t>
  </si>
  <si>
    <t>47. Aula para actividades docentes</t>
  </si>
  <si>
    <t>Instalación Sanitaria</t>
  </si>
  <si>
    <t>48. Todos los lavatorios tienen canillas que no requieren las manos para su cierre (codo, pie , rodilla o automáticos) y las piletas tienen profundidad suficiente para no salpicar y drenaje adecuado.</t>
  </si>
  <si>
    <t>49. Existen baños suficientes para el personal, padres y visitantes del Servicio.</t>
  </si>
  <si>
    <t xml:space="preserve">50. El sistema utilizado tiene la mayoría de elementos en conductos sanitarios (Caños no embutidos) y la provisión  de agua es potable. </t>
  </si>
  <si>
    <t>51. Las cámaras de inspección (piletas de patio) son herméticas</t>
  </si>
  <si>
    <t>52. La mayoría de los artefactos sanitarios (piletas) son colgantes para facilitar su limpieza.</t>
  </si>
  <si>
    <t>Instalación eléctrica</t>
  </si>
  <si>
    <t>53. Tiene Grupo electrógeno de capacidad suficiente para abastecer a todo el  área.</t>
  </si>
  <si>
    <t>54. Por  lo menos 12 enchufes con descarga a tierra en Cuidados Intensivos, 6 en Cuidados Intermedios por cada cuna-incubadora.</t>
  </si>
  <si>
    <t>55. Existen llaves térmicas por sectores.</t>
  </si>
  <si>
    <t>56. Disyuntores</t>
  </si>
  <si>
    <t>57. Circuitos alternativos</t>
  </si>
  <si>
    <t>58. Luces de emergencia de actuación automática (prenden al cortarse la electricidad)</t>
  </si>
  <si>
    <t>59. Luz de intensidad regulable</t>
  </si>
  <si>
    <t>Instalación de oxígeno, aire comprimido y aspiración</t>
  </si>
  <si>
    <t>Número total de ítems cumplidos         .                    (  / 273):</t>
  </si>
  <si>
    <t>Total</t>
  </si>
  <si>
    <t>60. Posee sistema de provisión de oxígeno, aire comprimido y aspiración centrales proporcional a las bocas de oxígeno existentes, con alarmas visoacústicas o de volumen.</t>
  </si>
  <si>
    <t>61. Posee tanque de oxígeno líquido y una batería con 4 tubos como mínimo para emergencias.</t>
  </si>
  <si>
    <t>63. Posee por lo menos 2 compresores a pistón seco con ciclo refrigerante, toma de aire exterior, drenaje de agua condensada y filtros bacterianos</t>
  </si>
  <si>
    <t>64. Posee bomba de vacío para aspiración.</t>
  </si>
  <si>
    <t>66. Posee 1 boca de oxígeno, 1 de aire y 1 de aspiración por cada 2 plazas de Cuidados Intermedios.</t>
  </si>
  <si>
    <t>67. Posee 1 boca de oxígeno, y 1 de aspiración por cada 3 plazas de los sectores de Crecimiento de Prematuros y Cuidados Transicionales</t>
  </si>
  <si>
    <t>Equipos antiincendio</t>
  </si>
  <si>
    <t>68. Posee matafuegos de diferentes clases (para instalaciones eléctricas y otras) en vigencia</t>
  </si>
  <si>
    <t xml:space="preserve">Salidas de emergencia </t>
  </si>
  <si>
    <t>69. La Unidad cuenta con salidas de emergencia adecuadamente señalizadas</t>
  </si>
  <si>
    <t>Sistemas de calorificación-refrigeración y comunicación</t>
  </si>
  <si>
    <t>70. Las ventanas son grandes, con vidrios especiales o dobles</t>
  </si>
  <si>
    <r>
      <t>Autores:</t>
    </r>
    <r>
      <rPr>
        <i/>
        <sz val="10"/>
        <color indexed="60"/>
        <rFont val="Verdana"/>
        <family val="2"/>
      </rPr>
      <t xml:space="preserve"> </t>
    </r>
    <r>
      <rPr>
        <b/>
        <i/>
        <sz val="10"/>
        <color indexed="60"/>
        <rFont val="Verdana"/>
        <family val="2"/>
      </rPr>
      <t>Dres. M. Larguía, L. Prudent, C. Lomuto,  E. Colombo, D. Enríquez</t>
    </r>
  </si>
  <si>
    <t>71. Cuenta con sistema de  ventilación y/o refrigeración-calefacción ,con aire filtrado ,que evita la recirculación de aire y con adecuado control de la temperatura (termostatos)</t>
  </si>
  <si>
    <t>72. La diferentes secciones de la Unidad se hallan comunicadas electrónicamente y/o telefónicamente entre sí , con el resto del establecimiento y con el exterior</t>
  </si>
  <si>
    <t>73. Existe control  periódico del ruido</t>
  </si>
  <si>
    <t>Nota: Todos los items se consideran relevantes.</t>
  </si>
  <si>
    <t>Capítulo 2: Equipamiento e Instrumental</t>
  </si>
  <si>
    <t>Requisitos comunes a las tres Zonas</t>
  </si>
  <si>
    <t>74. Cada equipo que se adquiere tiene un presupuesto anual del 20% de su costo para insumos, por 5 años, con garantías prolongadas y contratado un Service de mantenimiento preventivo y correctivo contínuo</t>
  </si>
  <si>
    <t>76. Se prioriza la compra de líneas o marcas únicas para evitar la diversificación en el manejo, services, repuestos, etc.</t>
  </si>
  <si>
    <t>77. Se adquieren equipos a fabricantes  o representantes exclusivos con una antigüedad mínima en el país de 5 años, para garantizar la seriedad de la misma.</t>
  </si>
  <si>
    <t>78. Se consulta  a Centros Perinatólogicos importantes por su número de partos , desempeño y resultados, para la adquisición de equipos. Se dispone de fundamentos escritos.</t>
  </si>
  <si>
    <t>79. Se cuenta con envases de antiséptico de dosificación automática y toallas descartables para el lavado y secado de manos en las tres Zonas.</t>
  </si>
  <si>
    <t>80. Existen recipientes lavables con tapa, con bolsas de polietileno (tres colores) para el depósito de residuos y cualquier otro material desechable en las 3 Zonas</t>
  </si>
  <si>
    <t>81. Existen recipientes lavables con tapa para el depósito transitorio de ropa sucia</t>
  </si>
  <si>
    <t>A. Zona de Atención del RN en Sala de Partos</t>
  </si>
  <si>
    <t>82. Cuenta con balanza, pediómetro y cinta métrica inextensible</t>
  </si>
  <si>
    <t>83. Posee toallas y compresas estériles para la recepción del recién nacido y ropa quirúrgica (gorro, barbijo, antiparras y  guantes) para el  equipo que atiende al niño</t>
  </si>
  <si>
    <t>84. Cuenta con láminas de plástico y gorros para los RN Pretérminos</t>
  </si>
  <si>
    <t>108. Saturómetro de pulso con tecnología que evite la pérdida del registro por movimiento: 1 en el sector recepción reanimación, 1 por cada RN en UTI - UCI y crecimiento de prematuros. Debe existir provisión suficiente de sensores para el funcionamiento continuo y simultáneo de todos los equipos.</t>
  </si>
  <si>
    <t>109. Monitor de Frecuencia cardiaca, ECG, frecuencia respiratoria por impedanciometría, registro de apneas. 1 por cada RN en UTI-UCI.</t>
  </si>
  <si>
    <r>
      <t>Autores:</t>
    </r>
    <r>
      <rPr>
        <i/>
        <sz val="10"/>
        <rFont val="Verdana"/>
        <family val="2"/>
      </rPr>
      <t xml:space="preserve"> Dres. Miguel Larguía, Luis Prudent, </t>
    </r>
  </si>
  <si>
    <r>
      <t>(.)</t>
    </r>
    <r>
      <rPr>
        <sz val="10"/>
        <rFont val="Verdana"/>
        <family val="2"/>
      </rPr>
      <t xml:space="preserve"> No evaluable en Servicios sin Maternidad</t>
    </r>
  </si>
  <si>
    <t xml:space="preserve">  Planilla operativa de evaluación</t>
  </si>
  <si>
    <t>Año actual:</t>
  </si>
  <si>
    <t>Año completo con estadísticas (anterior al vigente):</t>
  </si>
  <si>
    <t>Estadísticas básicas:</t>
  </si>
  <si>
    <r>
      <t>Autores:</t>
    </r>
    <r>
      <rPr>
        <i/>
        <sz val="10"/>
        <rFont val="Arial"/>
        <family val="2"/>
      </rPr>
      <t xml:space="preserve"> Dres. Miguel Larguía, Luis Prudent, </t>
    </r>
  </si>
  <si>
    <t>117. Radionanómetro. 1 en el sector</t>
  </si>
  <si>
    <t>86. Cuenta con los equipos necesarios para efectuar  la correcta identificación del RN (doble pulsera para el RN y simple para la madre con clamp numerado de igual código)</t>
  </si>
  <si>
    <t>110. 2 Bombas de perfusión contínua por cada plaza de cuidados intensivos  y 1 por cada plaza de cuidados intermedios</t>
  </si>
  <si>
    <t>118. Monitor multiparamétrico con posibilidad de registro invasivo de presión arterial y venosa. 1 cada 6 unidades de terapia intensiva</t>
  </si>
  <si>
    <t>127. Respirador neonatal, 1 cada plaza de Cuidados Intensivos y no menos de 2 en el área, excluido el de transporte. 1 cada 4 plazas de cuidados intermedios.</t>
  </si>
  <si>
    <t>138. Respirador de transporte</t>
  </si>
  <si>
    <t>139. Monitor de función pulmonar. 1 en el servicio</t>
  </si>
  <si>
    <t>140. A todo el personal, rentado o no, se le practica un examen médico (psicofísico) de admisión que incluye radiografía de tórax, serología para rubeola (al personal femenino), Hepatitis B,  HIV,etc.</t>
  </si>
  <si>
    <t>141. Luego de toda ausencia por enfermedad se repite el examen médico</t>
  </si>
  <si>
    <t>143. Se destina personal de Neonatología con patología banal (rinofaringitis, panadizos, etc.) a actividades que no implican atención directa de  pacientes.</t>
  </si>
  <si>
    <t>144. El Hospital mantiene una ficha de salud de cada empleado.</t>
  </si>
  <si>
    <t>145. Todo el personal posee un legajo donde se consignan evaluaciones periódicas (por lo menos anuales) del desempeño</t>
  </si>
  <si>
    <t>146. Todo el personal que ejecuta tareas de responsabilidad asistencial directa , tiene sus correspondientes títulos habilitantes legalizados por autoridad competente nacional y local y sus Curriculum Vitae actualizados.</t>
  </si>
  <si>
    <t>147. Los jefes y/o encargados del Servicio participan de la selección del personal médico y/o de mayor jerarquía de enfermería o administrativos.</t>
  </si>
  <si>
    <t>148. Los cargos de mayor  jerarquía son seleccionados con la participación de un miembro del equipo de salud mental.</t>
  </si>
  <si>
    <t>149. El Servicio de Neonatología cuenta con un Jefe que cumple no menos de 30 hs. por semana que es Neonatólogo con título de especialista certificado y/o recertificado  y ha sido designado por concurso.</t>
  </si>
  <si>
    <t>150. El Jefe del Servicio ha realizado cursos  y/o Postgrados de más de 200 hs. en Administración Sanitaria y/o Hospitalaria y/o Programas Materno Infantiles y realiza Cursos  oficiales de Educación Contínua.</t>
  </si>
  <si>
    <t>151. Hay un médico asistente que cumple no menos de 24 hs. por semana, por cada 4 plazas de Cuidados Intensivos e Intermedios</t>
  </si>
  <si>
    <t>152. Se destina una hora médica diaria como mínimo por cada 4 RN normales (IC)</t>
  </si>
  <si>
    <t>153. Se destina una hora médica diaria por cada 2 RN de Crecimiento de Prematuros.</t>
  </si>
  <si>
    <t>154. Se destina una hora  médica diaria por cada  3 RN de Cuidados Transicionales o bajo riesgo</t>
  </si>
  <si>
    <t>155. Hay un médico de Guardia activa durante las 24 hs. por cada 10 plazas de Cuidados Intensivos o Intermedios</t>
  </si>
  <si>
    <t>156. Hay un médico diferente del de Guardia presente por cada 3000 partos por año, en Sala de Partos.</t>
  </si>
  <si>
    <t>157. Hay Residencia propia de Neonatología como formación postbásica de Pediatría</t>
  </si>
  <si>
    <t>158. Hay Residencia médica de Pediatría con rotación de 4 a 6 meses en Neonatología</t>
  </si>
  <si>
    <t>159.  El establecimiento dispone de programas para becarios con dedicación de tiempo completo</t>
  </si>
  <si>
    <t>160. Se admiten pasantías de 3 a 6 meses de duración de jornada completa</t>
  </si>
  <si>
    <t>161. Los horarios de atención del plantel médico están distribuídos en la mañana, tarde y noche</t>
  </si>
  <si>
    <t>162. Si se trata de un Centro Perinatológico con ARM, tiene Terapistas Respiratorios durante  las 24 hs.</t>
  </si>
  <si>
    <t>163. El Servicio esta dirigido/supervisado por una Enfermera diplomada designada por concurso</t>
  </si>
  <si>
    <t>164. La Supervisora cuenta con capacitación especial en medicina materno-infantil (Cursos de más de 100 hs. en la especialidad)</t>
  </si>
  <si>
    <t>165. Cuenta con Jefa de Enfermería con capacitación en Neonatología (Cursos de más de 100 hs. en la especialidad Neonatología)</t>
  </si>
  <si>
    <t>166. La dotación de enfermeras propias de los Sectores de Cuidados Intensivos e Intermedios esta constituido por enfermeras diplomadas en más de 2/3.</t>
  </si>
  <si>
    <t xml:space="preserve">167. La distribucion de enfermeras  es igual en todos los turnos </t>
  </si>
  <si>
    <t>168. Hay por lo menos un personal de enfermería permanente cada 2 pacientes de Cuidados Intensivos, 4 pacientes en Cuidados Intermedios y Crecimiento de Prematuros, 9 pacientes en Cuidados Transicionales y 12 Recién Nacidos en Internación Conjunta.</t>
  </si>
  <si>
    <t>169. Hay enfermeras dedicadas exclusivamente a la atención de los RN normales en la Internación Conjunta con formación perinatológica</t>
  </si>
  <si>
    <t>170. El personal de enfermería rota por las 3 Zonas y recibe adiestramento en Servicio</t>
  </si>
  <si>
    <t>171. Si el Servicio efectua ARM, tiene no menos de 3 enfermeras por turno en Cuidados Intensivos</t>
  </si>
  <si>
    <t>172. Hay equipo de Enfermería  especialiazada en control de Infecciones Intrahospitalarias y Bioseguridad.</t>
  </si>
  <si>
    <r>
      <t xml:space="preserve">173. Enfermera para recepción reanimación </t>
    </r>
    <r>
      <rPr>
        <u val="single"/>
        <sz val="10"/>
        <rFont val="Verdana"/>
        <family val="2"/>
      </rPr>
      <t>disponible</t>
    </r>
    <r>
      <rPr>
        <sz val="10"/>
        <rFont val="Verdana"/>
        <family val="2"/>
      </rPr>
      <t xml:space="preserve"> las 24 hs capacitada en RCP neonatal y en transporte intra institucional.</t>
    </r>
  </si>
  <si>
    <t>174. Se dispone de Farmacéutico para preparación de medicamentos en monodosis, de soluciones parenterales y/o fraccionamiento de fórmulas líquidas bajo campana de flujo laminar vertical si es que se preparan en el Servicio.</t>
  </si>
  <si>
    <t>175. Hay una Nutricionista a cargo del Lactario de fórmulas y de leche Humana</t>
  </si>
  <si>
    <t>142. Una vez por año como mínimo se repite el examen médico</t>
  </si>
  <si>
    <t>176. El Servicio cuenta con una mucama especialmente entrenada  por cada 10 pacientes por lo menos, en todos los turnos.</t>
  </si>
  <si>
    <t>177. Hay  1 personal administrativo cada 15 plazas</t>
  </si>
  <si>
    <t>178. Hay Asistente social asignada al Servicio</t>
  </si>
  <si>
    <t>179. Hay Psicólogo asignado al Servicio</t>
  </si>
  <si>
    <t>180. Hay técnico electrónico asignado al Servicio</t>
  </si>
  <si>
    <t>181. Hay profesional en estadísticas asignado al Servicio</t>
  </si>
  <si>
    <t>182. Existe un Servicio de Voluntarios</t>
  </si>
  <si>
    <t>183. El Laboratorio esta a cargo de un profesional bioquímico que cumple no menos de 30 hs. semanales</t>
  </si>
  <si>
    <t>184. Cuenta con técnico de guardia activa las 24 hs.</t>
  </si>
  <si>
    <t>185. Se utilizan exclusivamente microtécnicas para exámenes de laboratorio</t>
  </si>
  <si>
    <t>186. Las muestra son obtenidas por personal idóneo entrenado en técnicas de infección intrahospitalaria</t>
  </si>
  <si>
    <t>187. El laboratorio puede efectuar e informar dentro de la hora de solicitado: glucemia, gases en sangre, ionograma, calcemia, hemoglobina, hematocrito,  etc.</t>
  </si>
  <si>
    <t>188. El laboratorio puede efectuar e informar dentro de las 3 hs. uremia, recuento de blancos, orina, LCR, Bilirrubina, etc.</t>
  </si>
  <si>
    <t>189. El laboratorio efectua toma de muestras y  procesado de Bacteriología.</t>
  </si>
  <si>
    <t>190. Se efectua periódicamente control de calidad de diferentes determinaciones</t>
  </si>
  <si>
    <t>191. Se efectuan reuniones entre Laboratorio y Neonatología en forma periódica.</t>
  </si>
  <si>
    <t>192. El Servicio esta a cargo de un Médico  especialista en Diagnóstico por Imágenes que cumpla no menos de 30 hs. semanales.</t>
  </si>
  <si>
    <t>193. Dicho profesional tiene experiencia en Diagnóstico por Imágenes en  Pediátria y Neonatología.</t>
  </si>
  <si>
    <t>194. Dicho Servicio realiza estudios Ecográficos y/o Radiológicos por lo menos 6 hs. por día con supervisión profesional</t>
  </si>
  <si>
    <t>195. Cuenta con un técnico de guardia activa las 24 hs.</t>
  </si>
  <si>
    <t>196. Esta asignado a la Unidad de Cuidados Intensivos un aparato portátil de Rx de alta velocidad</t>
  </si>
  <si>
    <t>197. Todas las Rx se realizan con adecuada protección genital</t>
  </si>
  <si>
    <t>198. Existen controles de radiación absorbida por personal de Neonatología o controles periódicos en el área</t>
  </si>
  <si>
    <t>199. Existen por lo menos 2 delantales de plomo para protección del personal.</t>
  </si>
  <si>
    <t>200. Se puede realizar Ecocardiografía Modo M bidimensional, Doppler con Transductores 5 y 7,5 MHHz</t>
  </si>
  <si>
    <t>201. Se puede realizar Ecografía cerebral</t>
  </si>
  <si>
    <t>202. Se puede realizar  (o derivar para) Ecografía Doppler color, Tomografía Computada, Resonancia Magnética, Centellografía, etc.</t>
  </si>
  <si>
    <t>203. El Servicio de Diagnóstico por Imágenes participa de Ateneos Conjuntos y/o reuniones organizativas con el Servicio de Neonatología.</t>
  </si>
  <si>
    <t>204. El Servicio esta a cargo de un Médico Hematólogo</t>
  </si>
  <si>
    <t>205. Dicho profesional tiene experiencia en RN</t>
  </si>
  <si>
    <t>206. Existe técnico de Guardia activa las 24 hs.</t>
  </si>
  <si>
    <t>207. El Servicio efectúa de rutina a todas las muestras de dadores estudios sobre Chagas, lues, Hepatitis, HIV, CMV, etc.</t>
  </si>
  <si>
    <t>208. Existe un registro de dadores entre el personal de la Institución, Obra Social,  la comunidad, etc.</t>
  </si>
  <si>
    <t>209. Existe un Banco de Sangre como para mantener la necesidad mínima de requerimientos por 48 hs., o conexión con proveedores de sangre que puedan asegurarla.</t>
  </si>
  <si>
    <t>210. Existe un Programa de Donantes para Prematuros</t>
  </si>
  <si>
    <t>211. El Servico de Hemoterapia participa en Ateneos conjuntos con el Servicio de Neonatología</t>
  </si>
  <si>
    <t>212. Las Normas  del Servicio son elaboradas con la participación completa del equipo de salud, con énfasis en Medicina Basada en la Evidencia y con la aplicación de Tecnologías Apropiadas, compatibilizadas con las Normas Nacionales y sus resultados evaluados en forma periódica.</t>
  </si>
  <si>
    <t>213. Existen Normas escritas de control de la Infección Intrahospitalaria y Bioseguridad que se cumplen sistemáticamente y son supervisadas y evaluadas en forma periódica.</t>
  </si>
  <si>
    <t>214. Los técnicos de mantenimiento, laboratorio, Rayos, Hemoterapia y el resto de los integrantes del Equipo de Salud cumplen estas Normas.</t>
  </si>
  <si>
    <t>215. Existen una Política escrita  sobre Lactancia Materna que se ajusta a los 10 pasos de la Iniciativa Hospital Amigo de la Madre y el Niño.</t>
  </si>
  <si>
    <t>216. Existen Normas de Seguridad tendientes a evitar el robo  o cambio de niños, manteniendo la integridad del binomio Madre-hijo.</t>
  </si>
  <si>
    <t>217. Existen Normas para pedidos y procesados de Laboratorio y radiología de urgencia (menos de una hora) que se cumplen en el 100% de los casos.</t>
  </si>
  <si>
    <t>218. Existen Normas para Extracciones de Laboratorio, Tomas de muestras para Bacteriología, Estudios necrópsicos</t>
  </si>
  <si>
    <t>219. Existen Normas para solicitud y procesado de Grupo, Rh y Coombs, se  obtiene sangre para transfusiones dentro de 60 minutos de solicitada.</t>
  </si>
  <si>
    <t>220. Existen Normas para la adecuada preparación de materiales, contenido y presentación de paquetes, bandejas, cajas, con entrega y reposición simultánea de material.</t>
  </si>
  <si>
    <t>221. Existen Normas de funcionamiento de la Unidad frente a desastres y/o catástrofes: incendio, terremoto, inundaciones,etc. y el personal ha sido entrenado al respecto</t>
  </si>
  <si>
    <t xml:space="preserve">222. El Servicio cuenta con Normas provenientes de adecuado asesoramiento jurídico y de Auditoría Interna, con control de costos y gastos de compras. </t>
  </si>
  <si>
    <t>223. Todas las Normas se encuentran por escrito y en lugar accesible a todo el personal del Equipo de Salud a toda hora.</t>
  </si>
  <si>
    <t>224. El Servicio de Neonatología depende del Departamento Materno Infantil o Perinatológico</t>
  </si>
  <si>
    <t>225. Se dispone de posibilidad de interconsulta y/ o se cuenta con las siguientes especialidades: Cardiología, Infectología, Genética, Neurología, Cirugía Infantil, Anestesiología.</t>
  </si>
  <si>
    <t>226. Las decisiones sobre las embarazadas de alto riesgo se  toman en forma conjunta entre obstetras y neonatólogos</t>
  </si>
  <si>
    <t>227. Las madres reciben durante su estadía hospitalaria educación para la salud y tanto ellas como sus hijos tienen altas dirigidas y orientadas.</t>
  </si>
  <si>
    <t>228. Se cuenta con un sistema informático (SIP-CLAP, Agustina, EpiInfo, etc.) en el que se vuelcan los datos de los pacientes asistidos y sus resultados se publican anualmente</t>
  </si>
  <si>
    <t>229. Se efectúa evaluación periódica de los registros informáticos (y otros) de:</t>
  </si>
  <si>
    <t>230. Al egreso todo RN tiene su carnet de alta con los datos principales y los RN patológicos además resumen de Historia Clínica que se entrega a sus padres.</t>
  </si>
  <si>
    <t>231. Esta coordinado el seguimiento al alta por Consultorios de la Institución  y/u otras alternativas.</t>
  </si>
  <si>
    <t>232. Esta organizada la asistencia por Consultorios Externos, existiendo programas especiales de seguimiento para : prematuros menores de 1.500 gr., RN Alto riesgo, Retinopatía del prematuro, investigación auditiva, Anoxia perinatal, desarrollo psicomotor, estimulación oportuna, desertores,  y/u otros</t>
  </si>
  <si>
    <t>233. La atención recibida por el RN y su familia es evaluada por los usuarios por medio de encuestas u otros sistemas de control (Satisfacción del usuario)</t>
  </si>
  <si>
    <t>234. Todos los pacientes , sanos o patológicos, tienen historia clínica que es actualizada por   lo menos diariamente, constando fecha, hora y firma aclarada. Al alta constan todos los diagnósticos y se efectúa una  epicrisis y/o resumen estadístico perinatal</t>
  </si>
  <si>
    <t>235. En la Historia Clínica se consignan, archivan y comentan los resultados de interconsultas, examenens complementarios, partes quirúrgicos, hojas de controles de enfermería y de evaluación médica , de procedimientos, visitas de padres, etc..</t>
  </si>
  <si>
    <t>236. Las órdenes que ejecutan las enfermeras sólo se imparten por escrito, están consignadas en la Historia Clínica (hoja de indicaciones) , sólo las imparten los médicos y se firman al cumplirlas.</t>
  </si>
  <si>
    <t>237. Se efectua Auditoría de Historias Clínicas al azar y en forma periódica.</t>
  </si>
  <si>
    <t>238. Las Historias Clínicas de los RN nomales son archivadas por 10 años y  las de los RN patológicos por 15 años con un método de almacenamiento que permite su fácil consulta.</t>
  </si>
  <si>
    <t>239. La Historia Clínica de los RN Patológicos y eventualmente RN sanos,  tiene una sección que permite evaluar alto riesgo psicosocial</t>
  </si>
  <si>
    <t>240. Existe un Comité de Docencia e Investigación en la Institución que incluye las actividades del área Perinatal en su programación.</t>
  </si>
  <si>
    <t>241. Estan programadas anualmente las actividades de educación contínua para todo el equipo de salud (médicos, enfermeras, etc,)</t>
  </si>
  <si>
    <t>242. Estas actividades de capacitación reiteran anualmente o semestralemente capacitación en temas básicos como : Reanimación del RN, Lactancia Materna, Medidas de Bioseguridad, etc. de manera que TODO el personal las reciba.</t>
  </si>
  <si>
    <t>243. Se efectúan reuniones clínicas conjuntas entre Obstetricia y Neonatología</t>
  </si>
  <si>
    <t>244. Está programada la rotación de Residentes de Pediatría/Neonatología en Obstetricia y viceversa</t>
  </si>
  <si>
    <t>245. Los proyectos de Investigación del Servicio son evaluados y autorizados por el Comité de Docencia e Investigación, estan integrados a las actividades del Servicio y supervisados por la Jefatura.</t>
  </si>
  <si>
    <t>246. Participa el Servicio en investigaciones colaborativas y/o interdisciplinarias</t>
  </si>
  <si>
    <t>247. La mayoría de las investigaciones estan destinadas a mejorar la problemática asistencial</t>
  </si>
  <si>
    <t>248. Existe un Comité de Etica en la Institución y hay un representante del área Perinatal en él.El Comité asesora sobre modelo de Consentimiento informado, problemas éticos sobre conductas a tomar con los pacientes, etc.</t>
  </si>
  <si>
    <t>249. Hay un Comité de Infecciones en la Institución integrado por algún representante del área Perinatal. Asesora sobre control de Infecciones Intrahospitalarias, medidas de Bioseguridad, uso racional de antibióticos, etc.</t>
  </si>
  <si>
    <t>250. Cuenta con servicio de conexión a internet (con sistemea se busqueda bibliográfica), disponible al personal de salud</t>
  </si>
  <si>
    <t>251. Existen Normas escritas de atención del RN normal en Sala de Partos que se cumplen en el 100% de los casos.</t>
  </si>
  <si>
    <t>252. Existen Normas de atención de los RN patológicos en Sala de Partos</t>
  </si>
  <si>
    <t>253. Inmediatamente al nacimiento, se permite el contacto precoz  madre hijo, piel a piel para favorecer el vínculo madre-hijo</t>
  </si>
  <si>
    <t>254. Se fomenta el ingreso de los padres o familiar a la Sala de dilatantes, Sala de Partos o Salas TPR</t>
  </si>
  <si>
    <t>255. Se llevan registros  de  RN deprimidos, malformados, etc.  según peso, EG, y su morbilidad ,efectuándose periódicamente auditoría de los resultados.</t>
  </si>
  <si>
    <t>256. Se utilizan simuladores en la práctica de la reanimación del RN (muñecos)</t>
  </si>
  <si>
    <t>257. Existen Normas escritas sobre el RN sano donde se enfatiza la Lactancia materna siguiendo los 10 pasos de la Iniciativa Hospital Amigo de la Madre y el Niño(OMS-UNICEF)</t>
  </si>
  <si>
    <t>258. El RN sano permanece la mayor parte del tiempo en la habitación con su madre y no es separado innecesariamente para procedimientos, período nocturno, etc. Se recomienda la posición boca arriba o de costado para dormir al RN.</t>
  </si>
  <si>
    <t>259. Existen planes de estimulación oportuna y para favorecer el vínculo madre-hijo</t>
  </si>
  <si>
    <t>260. Las enfermeras reciben entrenamiento especial en lactancia materna y signos de alarma</t>
  </si>
  <si>
    <t>261. El Servicio cuenta con puericultoras para lactancia</t>
  </si>
  <si>
    <t>262. El Servicio cuenta con estadísticas de lactancia al egreso y a los 2,4 y 6 meses de edad.</t>
  </si>
  <si>
    <t>263. Existen Normas escritas  y registros  para criterios de derivación y contrareferencia, diagnóstico y tratamiento de las principales patologías y criterios de alta</t>
  </si>
  <si>
    <t>264. Se realizan examenes bacteriológicos a los infectados y/o sospechosos de infeccion existiendo registro de sensibilidad microbiana a antibióticos y su uso.</t>
  </si>
  <si>
    <t>265. Se cumplen los programas de Control de Infecciones Intrahospitalarias y se lleva registro de las mismas (contínuos, transversales, etc)</t>
  </si>
  <si>
    <t xml:space="preserve">266. El Jefe del Servicio hace no menos de un Pase de Sala diario </t>
  </si>
  <si>
    <t>267. Los médicos de planta del Servicio y de guardia hacen una revista de sala asistencial por  lo menos una vez por día.</t>
  </si>
  <si>
    <t>268. Los médicos de guardia efectúan pase de sala con enfermeras de los casos más importantes y/o graves una vez por turno.</t>
  </si>
  <si>
    <t>269. Los padres reciben información personalizada  adecuada diariamente por el Jefe  (Servicio, Unidad) o médicos de planta en un horario de informes.</t>
  </si>
  <si>
    <t>270. El horario de visita de los padres no tiene restricciones, favoreciéndose el contacto padres-hijos</t>
  </si>
  <si>
    <t>271. Los padres participan en reuniones periódicas con médicos y otros integrantes del equipo de salud.</t>
  </si>
  <si>
    <t>272. Hay algún registros de las mismas</t>
  </si>
  <si>
    <t>273. Se efectua el seguimiento de los padres luego del fallecimiento de los RN</t>
  </si>
  <si>
    <t>274. Los egresos de los RN de alto riesgo son palnificados, decididos y evaluados en forma conjunta por  médicos y enfermeras y además por asistentes sociales y psicólogos.</t>
  </si>
  <si>
    <t>275. Existe un protocolo de alta</t>
  </si>
  <si>
    <t>276. El Hospital realiza visitas domiciliarias de pre-alta o luego del alta al grupo de alto riesgo</t>
  </si>
  <si>
    <t>277. Esta organizada la prevención y conducta ante la deserción del RN de alto riesgo en Consultorio Externos.</t>
  </si>
  <si>
    <t>278. Se dictan cursos de reanimación cardiopulmonar para padres de RN de alto riesgo (menores de 1500 gr, secuelados neurológicos, etc), previos al alta. Si el número mensual de altas programadas de RN de riesgo es bajo (menos de 5) se coordina con otra entidad para su realización. Forma parte del protocolo de alta.</t>
  </si>
  <si>
    <t>279. El Hospital cuenta con el funcionamiento de un comité de seguridad del paciente o algún método de prevención de errores médicos.</t>
  </si>
  <si>
    <t>280. El servicio ha certificado alguna norma internacional de calidad.</t>
  </si>
  <si>
    <t xml:space="preserve">120. Refrigeradores para uso exclusivo del área . 1 para receptáculos con leche humana o fórmula. Otro para medicamentos. Un tercero para muestras de sangre orina, etc. </t>
  </si>
  <si>
    <t>122. Bombas mecánicas de vacio negativo graduable e intermitente de extracción de leche humana. 1 por cada 2000 partos en el sector específico. Bombas de extracción manual reesterilizables o descartables disponibles en el servicio.</t>
  </si>
  <si>
    <t>128. Cada respirador tiene no menos de 3 circuitos alternativos de reserva.</t>
  </si>
  <si>
    <t>135. Cada calentador tiene no menos de 3 circuitos y reservórios disponibles</t>
  </si>
  <si>
    <t>85. Cuenta con termómetro de pared y reloj grande con segundero visible desde el lado del operador y fuente de luz sobre la mesada (o servocuna)</t>
  </si>
  <si>
    <t>Relación N° partosanuales</t>
  </si>
  <si>
    <t>Evaluadores:</t>
  </si>
  <si>
    <t>Fecha:</t>
  </si>
  <si>
    <t>Planta física:</t>
  </si>
  <si>
    <t>Requisitos comunes:</t>
  </si>
  <si>
    <t>Zona de atención del RN en Sala de Partos:</t>
  </si>
  <si>
    <t>Zona de Internación Conjunta:</t>
  </si>
  <si>
    <t>Zona de Cuidados especiales Neonatales</t>
  </si>
  <si>
    <t>Recursos Humanos:</t>
  </si>
  <si>
    <t>Médicos:</t>
  </si>
  <si>
    <t>Enfermeras:</t>
  </si>
  <si>
    <t>Equipamiento e instrumental:</t>
  </si>
  <si>
    <t>Zona de atención del RN en Sala de Partos</t>
  </si>
  <si>
    <t>Servicios Complementarios:</t>
  </si>
  <si>
    <t>Laboratorio:</t>
  </si>
  <si>
    <t>Diagnóstico por imágenes</t>
  </si>
  <si>
    <t>Hemoterapia:</t>
  </si>
  <si>
    <t>Funcionamiento y Organización:</t>
  </si>
  <si>
    <t>Zona de atención del RN en Sala de Partos e Int. Conj.</t>
  </si>
  <si>
    <t>%</t>
  </si>
  <si>
    <t>Regresar al Menú Principal</t>
  </si>
  <si>
    <t>87. Cuenta con el instrumental necesario (Bolsas tipo AMBU con reservorio y válvula de seguridad y/o manómetro, mascarillas de distinto tamaño, tubos endotraqueales (2.5, 3, 3.5,4)- laringoscopio con ramas  rectas de distinto tamaño, estetoscopios, caja de canalización umbilical,etc.) para reanimar simultáneamente a dos RN</t>
  </si>
  <si>
    <t>88. Cuenta con el material de laboratorio necesario para efectuar grupo, Rh ,Coombs, hematocrito, gases en sangre , cultivos u otras determinaciones.</t>
  </si>
  <si>
    <t>89. Tiene disponibles todos los medicamentos y descartables que se requieren en una reanimación- recepción con tabla de dosis en lugar visible (adrenalina, Bicarbonato de Na, Naloxona, sol. fisiológica, sueros, Vitamina K, Colirio de Nitrato de Plata, Triple colorante, etc.  Tubuladuras, agujas, jeringas, catéteres, guantes, tela adhesiva, etc)</t>
  </si>
  <si>
    <t>91. Hay equipamiento para transporte intra/extrainstitucional: Incubadoras de Transporte, Port Enfant.</t>
  </si>
  <si>
    <t>92. Hay algoritmos de Reanimación (SAP-CEFEN) visibles.</t>
  </si>
  <si>
    <t>B. Zona de Internación Conjunta</t>
  </si>
  <si>
    <t>93. Para cada RN hay una cuna de acrílico, pie cromado, con estante y/o cajón y su correspondiente colchón con funda íntegra y lavable.</t>
  </si>
  <si>
    <t>94. Hay en la Zona balanza, pediómetro y cinta métrica inextensible</t>
  </si>
  <si>
    <t>95. Los recipientes para desperdicios son de plástico con tapa y se usan con bolsas de polietileno de 3 colores identificatorios.</t>
  </si>
  <si>
    <t>96. Se usan toallas descartables para el secado de manos</t>
  </si>
  <si>
    <t>97. La Zona cuenta con  sistema de aspiración y suministro de oxígeno.</t>
  </si>
  <si>
    <t>98. Posee aparatos o sistemas utilizables en actividades de educación para la salud: proyector, televisor y videocasetera, juegos participativos, etc.</t>
  </si>
  <si>
    <t>99. Se prohibe el uso de mamaderas sin indicación médica y se desaconsejan los chupetes</t>
  </si>
  <si>
    <t>100.  Hay  cuadros o instructivos visibles sobre Lactancia Materna, forma de dormir (prevención de muerte súbita) u otros signos de alarma..</t>
  </si>
  <si>
    <t>C. Zona de Cuidados Especiales Neonatales</t>
  </si>
  <si>
    <r>
      <t>Autores:</t>
    </r>
    <r>
      <rPr>
        <i/>
        <sz val="10"/>
        <color indexed="60"/>
        <rFont val="Verdana"/>
        <family val="2"/>
      </rPr>
      <t xml:space="preserve"> Dres. Miguel Larguía, Luis Prudent, </t>
    </r>
  </si>
  <si>
    <t>101. Las cunas, pies de cuna y colchones son lavables y se mantienen  en perfecto estado de conservación.</t>
  </si>
  <si>
    <t>102. Existe una bandeja individual (estetoscopio, termómetro, etc.) para cada plaza.</t>
  </si>
  <si>
    <t>103. Hay una Incubadora de transporte intra/extrainstitucional , 1 cada 12 plazas y/o 3.000 partos por año y Port Enfant.</t>
  </si>
  <si>
    <t>104. Hay Incubadoras radiantes o servocunas , 1 cada 4 a 6 incubadoras o 1 cada 800 a 1000 nacimientos/año.</t>
  </si>
  <si>
    <t>105. Hay 1 (una) incubadora de circuito cerrado por cada 250 nacimientos/año.</t>
  </si>
  <si>
    <t>106. Equipos de luminoterapia de 8 tubos  luz azul BB o spots, 1 por cada 2 incubadoras, en total 1 cada 300 nacimientos/año..</t>
  </si>
  <si>
    <t>107. Balanza de 10.000 gr,  y pediómetro: 1 cada 5 plazas.</t>
  </si>
  <si>
    <t>111. Equipo completo de reanimación: 2 en el área, o 1 cada 6 plazas.</t>
  </si>
  <si>
    <t>112. Equipo de exsanguinotransfusión 2 en el área o 1 cada 6 plazas.</t>
  </si>
  <si>
    <t>113. Equipo para presión venosa central 2 en el área o 1 cada 6 plazas.</t>
  </si>
  <si>
    <t>114. Equipo de drenaje de neumotórax 2 en el área</t>
  </si>
  <si>
    <t>116. Electrocardiógrafo 1 en el área</t>
  </si>
  <si>
    <t>119. Ecógrafo Doppler color con transductores 5 y 7.5 MHZ</t>
  </si>
  <si>
    <t>121. Oftalmoscopio y otoscopio</t>
  </si>
  <si>
    <t>123. Balanza de pañales</t>
  </si>
  <si>
    <t>124. Densitómetro óptico</t>
  </si>
  <si>
    <t>125. Aparato de Rx portátil</t>
  </si>
  <si>
    <t>126. Osciloscopio desfibrilador</t>
  </si>
  <si>
    <t>130. Un Halo por cada incubadora (en 3 tamaños)</t>
  </si>
  <si>
    <t>Hospital</t>
  </si>
  <si>
    <t>Jefe de división  Neonatología desde (fecha)</t>
  </si>
  <si>
    <t>Cargo concursado:</t>
  </si>
  <si>
    <t>Horas médicos:</t>
  </si>
  <si>
    <t>Planta 24 hs</t>
  </si>
  <si>
    <t>Planta 36 hs</t>
  </si>
  <si>
    <t>Planta 40 hs</t>
  </si>
  <si>
    <t>Guardia 24 hs</t>
  </si>
  <si>
    <t>Guardia / Planta 24 hs</t>
  </si>
  <si>
    <t>Guardia / Planta 36 hs</t>
  </si>
  <si>
    <t>Guardia / Planta 40 hs</t>
  </si>
  <si>
    <t>Turno mañana</t>
  </si>
  <si>
    <t>Turno tarde</t>
  </si>
  <si>
    <t>Turno vespertino</t>
  </si>
  <si>
    <t>Turno noche</t>
  </si>
  <si>
    <t>Franqueras</t>
  </si>
  <si>
    <t>Mucamas:</t>
  </si>
  <si>
    <t>N° asistentes sociales</t>
  </si>
  <si>
    <t>Exclusivas:</t>
  </si>
  <si>
    <t>Interconsultores:</t>
  </si>
  <si>
    <t>Infectólogo</t>
  </si>
  <si>
    <t>Cardiólogo</t>
  </si>
  <si>
    <t>Neurólogo</t>
  </si>
  <si>
    <t>Oftalmólogo</t>
  </si>
  <si>
    <t>Cirujano</t>
  </si>
  <si>
    <t>Genetista</t>
  </si>
  <si>
    <t>Parcial de (meses):</t>
  </si>
  <si>
    <t>% internación en area cuidados especiales:</t>
  </si>
  <si>
    <t>Giro/ cama</t>
  </si>
  <si>
    <t>% ocupacional</t>
  </si>
  <si>
    <t>Promedio de permanencia (días):</t>
  </si>
  <si>
    <t>Consultorio externo de alto riesgo</t>
  </si>
  <si>
    <t>% anual de RN con peso al nacer &lt; 2500 gr</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</si>
</sst>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00000"/>
    <numFmt numFmtId="189" formatCode="0.000000"/>
    <numFmt numFmtId="190" formatCode="0.00000"/>
    <numFmt numFmtId="191" formatCode="0.0000"/>
    <numFmt numFmtId="192" formatCode="0.000"/>
    <numFmt numFmtId="193" formatCode="0.0"/>
    <numFmt numFmtId="194" formatCode="d\-m\-yy"/>
    <numFmt numFmtId="195" formatCode="[$-2C0A]dddd\,\ dd&quot; de &quot;mmmm&quot; de &quot;yyyy"/>
    <numFmt numFmtId="196" formatCode="dd/mm/yy;@"/>
  </numFmts>
  <fonts count="60">
    <font>
      <sz val="10"/>
      <name val="Arial"/>
      <family val="0"/>
    </font>
    <font>
      <u val="single"/>
      <sz val="10"/>
      <color indexed="12"/>
      <name val="Arial"/>
      <family val="0"/>
    </font>
    <font>
      <u val="single"/>
      <sz val="10"/>
      <color indexed="36"/>
      <name val="Arial"/>
      <family val="0"/>
    </font>
    <font>
      <b/>
      <sz val="9.75"/>
      <name val="Arial"/>
      <family val="2"/>
    </font>
    <font>
      <sz val="9.75"/>
      <name val="Arial"/>
      <family val="2"/>
    </font>
    <font>
      <sz val="19.25"/>
      <name val="Arial"/>
      <family val="0"/>
    </font>
    <font>
      <b/>
      <i/>
      <u val="single"/>
      <sz val="10.75"/>
      <name val="Arial"/>
      <family val="2"/>
    </font>
    <font>
      <b/>
      <sz val="10.5"/>
      <name val="Arial"/>
      <family val="2"/>
    </font>
    <font>
      <sz val="9.25"/>
      <name val="Arial"/>
      <family val="2"/>
    </font>
    <font>
      <sz val="18.5"/>
      <name val="Arial"/>
      <family val="0"/>
    </font>
    <font>
      <b/>
      <i/>
      <u val="single"/>
      <sz val="11.75"/>
      <name val="Arial"/>
      <family val="2"/>
    </font>
    <font>
      <sz val="8"/>
      <name val="Arial"/>
      <family val="2"/>
    </font>
    <font>
      <sz val="29.75"/>
      <name val="Arial"/>
      <family val="2"/>
    </font>
    <font>
      <b/>
      <i/>
      <u val="single"/>
      <sz val="9.75"/>
      <name val="Arial"/>
      <family val="2"/>
    </font>
    <font>
      <sz val="8.75"/>
      <name val="Arial"/>
      <family val="2"/>
    </font>
    <font>
      <b/>
      <sz val="8.75"/>
      <name val="Arial"/>
      <family val="2"/>
    </font>
    <font>
      <sz val="19"/>
      <name val="Arial"/>
      <family val="0"/>
    </font>
    <font>
      <b/>
      <i/>
      <u val="single"/>
      <sz val="9.5"/>
      <name val="Arial"/>
      <family val="2"/>
    </font>
    <font>
      <b/>
      <sz val="8.5"/>
      <name val="Arial"/>
      <family val="2"/>
    </font>
    <font>
      <sz val="16"/>
      <name val="Arial"/>
      <family val="0"/>
    </font>
    <font>
      <b/>
      <sz val="8"/>
      <name val="Arial"/>
      <family val="2"/>
    </font>
    <font>
      <sz val="8"/>
      <name val="Tahoma"/>
      <family val="0"/>
    </font>
    <font>
      <b/>
      <sz val="8"/>
      <name val="Tahoma"/>
      <family val="0"/>
    </font>
    <font>
      <b/>
      <sz val="14"/>
      <color indexed="16"/>
      <name val="Verdana"/>
      <family val="2"/>
    </font>
    <font>
      <sz val="10"/>
      <name val="Verdana"/>
      <family val="2"/>
    </font>
    <font>
      <b/>
      <sz val="10"/>
      <color indexed="16"/>
      <name val="Arial"/>
      <family val="2"/>
    </font>
    <font>
      <b/>
      <sz val="10"/>
      <color indexed="16"/>
      <name val="Verdana"/>
      <family val="2"/>
    </font>
    <font>
      <sz val="10"/>
      <color indexed="60"/>
      <name val="Verdana"/>
      <family val="2"/>
    </font>
    <font>
      <u val="single"/>
      <sz val="10"/>
      <color indexed="60"/>
      <name val="Verdana"/>
      <family val="2"/>
    </font>
    <font>
      <i/>
      <sz val="10"/>
      <color indexed="60"/>
      <name val="Verdana"/>
      <family val="2"/>
    </font>
    <font>
      <b/>
      <sz val="14"/>
      <color indexed="60"/>
      <name val="Verdana"/>
      <family val="2"/>
    </font>
    <font>
      <b/>
      <i/>
      <sz val="10"/>
      <color indexed="60"/>
      <name val="Verdana"/>
      <family val="2"/>
    </font>
    <font>
      <i/>
      <u val="single"/>
      <sz val="10"/>
      <color indexed="60"/>
      <name val="Verdana"/>
      <family val="2"/>
    </font>
    <font>
      <sz val="12"/>
      <name val="Verdana"/>
      <family val="2"/>
    </font>
    <font>
      <b/>
      <sz val="12"/>
      <name val="Arial"/>
      <family val="2"/>
    </font>
    <font>
      <sz val="14"/>
      <name val="Arial"/>
      <family val="0"/>
    </font>
    <font>
      <b/>
      <u val="single"/>
      <sz val="10"/>
      <name val="Verdana"/>
      <family val="2"/>
    </font>
    <font>
      <b/>
      <sz val="14"/>
      <name val="Verdana"/>
      <family val="2"/>
    </font>
    <font>
      <i/>
      <u val="single"/>
      <sz val="10"/>
      <name val="Verdana"/>
      <family val="2"/>
    </font>
    <font>
      <i/>
      <sz val="10"/>
      <name val="Verdana"/>
      <family val="2"/>
    </font>
    <font>
      <sz val="11"/>
      <name val="Verdana"/>
      <family val="2"/>
    </font>
    <font>
      <b/>
      <i/>
      <u val="single"/>
      <sz val="10"/>
      <name val="Verdana"/>
      <family val="2"/>
    </font>
    <font>
      <b/>
      <sz val="10"/>
      <name val="Verdana"/>
      <family val="2"/>
    </font>
    <font>
      <b/>
      <i/>
      <sz val="10"/>
      <name val="Verdana"/>
      <family val="2"/>
    </font>
    <font>
      <b/>
      <i/>
      <u val="single"/>
      <sz val="12"/>
      <name val="Verdana"/>
      <family val="2"/>
    </font>
    <font>
      <b/>
      <i/>
      <u val="single"/>
      <sz val="11"/>
      <name val="Verdana"/>
      <family val="2"/>
    </font>
    <font>
      <b/>
      <sz val="9"/>
      <name val="Verdana"/>
      <family val="2"/>
    </font>
    <font>
      <b/>
      <sz val="8"/>
      <name val="Verdana"/>
      <family val="2"/>
    </font>
    <font>
      <sz val="14"/>
      <name val="Verdana"/>
      <family val="2"/>
    </font>
    <font>
      <b/>
      <sz val="10"/>
      <color indexed="10"/>
      <name val="Verdana"/>
      <family val="2"/>
    </font>
    <font>
      <sz val="10"/>
      <color indexed="10"/>
      <name val="Arial"/>
      <family val="0"/>
    </font>
    <font>
      <sz val="10"/>
      <color indexed="10"/>
      <name val="Verdana"/>
      <family val="2"/>
    </font>
    <font>
      <b/>
      <sz val="8"/>
      <color indexed="10"/>
      <name val="Verdana"/>
      <family val="2"/>
    </font>
    <font>
      <u val="single"/>
      <sz val="10"/>
      <name val="Verdana"/>
      <family val="2"/>
    </font>
    <font>
      <b/>
      <sz val="12"/>
      <name val="Verdana"/>
      <family val="2"/>
    </font>
    <font>
      <i/>
      <u val="single"/>
      <sz val="10"/>
      <name val="Arial"/>
      <family val="2"/>
    </font>
    <font>
      <i/>
      <sz val="10"/>
      <name val="Arial"/>
      <family val="2"/>
    </font>
    <font>
      <b/>
      <sz val="10"/>
      <name val="Arial"/>
      <family val="2"/>
    </font>
    <font>
      <b/>
      <i/>
      <sz val="10"/>
      <name val="Arial"/>
      <family val="2"/>
    </font>
    <font>
      <b/>
      <i/>
      <u val="single"/>
      <sz val="10"/>
      <name val="Arial"/>
      <family val="2"/>
    </font>
  </fonts>
  <fills count="3">
    <fill>
      <patternFill/>
    </fill>
    <fill>
      <patternFill patternType="gray125"/>
    </fill>
    <fill>
      <patternFill patternType="solid">
        <fgColor indexed="22"/>
        <bgColor indexed="64"/>
      </patternFill>
    </fill>
  </fills>
  <borders count="2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38">
    <xf numFmtId="0" fontId="0" fillId="0" borderId="0" xfId="0" applyAlignment="1">
      <alignment/>
    </xf>
    <xf numFmtId="0" fontId="0" fillId="0" borderId="0" xfId="0" applyAlignment="1" applyProtection="1">
      <alignment/>
      <protection/>
    </xf>
    <xf numFmtId="0" fontId="0" fillId="0" borderId="1" xfId="0" applyBorder="1" applyAlignment="1" applyProtection="1">
      <alignment/>
      <protection/>
    </xf>
    <xf numFmtId="0" fontId="34" fillId="0" borderId="1" xfId="0" applyFont="1" applyBorder="1" applyAlignment="1" applyProtection="1">
      <alignment/>
      <protection/>
    </xf>
    <xf numFmtId="0" fontId="0" fillId="0" borderId="0" xfId="0" applyAlignment="1" applyProtection="1">
      <alignment horizontal="center"/>
      <protection/>
    </xf>
    <xf numFmtId="19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1" xfId="0" applyFill="1" applyBorder="1" applyAlignment="1" applyProtection="1">
      <alignment horizontal="center"/>
      <protection/>
    </xf>
    <xf numFmtId="0" fontId="0" fillId="0" borderId="0" xfId="0" applyAlignment="1" applyProtection="1">
      <alignment shrinkToFit="1"/>
      <protection/>
    </xf>
    <xf numFmtId="0" fontId="0" fillId="0" borderId="0" xfId="0" applyFont="1" applyAlignment="1" applyProtection="1">
      <alignment/>
      <protection/>
    </xf>
    <xf numFmtId="0" fontId="0" fillId="0" borderId="1" xfId="0" applyBorder="1" applyAlignment="1" applyProtection="1">
      <alignment horizontal="center"/>
      <protection/>
    </xf>
    <xf numFmtId="0" fontId="0" fillId="0" borderId="2" xfId="0" applyBorder="1" applyAlignment="1" applyProtection="1">
      <alignment/>
      <protection/>
    </xf>
    <xf numFmtId="0" fontId="0" fillId="2" borderId="2" xfId="0" applyFill="1" applyBorder="1" applyAlignment="1" applyProtection="1">
      <alignment horizontal="center"/>
      <protection locked="0"/>
    </xf>
    <xf numFmtId="0" fontId="0" fillId="0" borderId="1" xfId="0" applyBorder="1" applyAlignment="1" applyProtection="1">
      <alignment shrinkToFit="1"/>
      <protection/>
    </xf>
    <xf numFmtId="0" fontId="0" fillId="0" borderId="0" xfId="0" applyAlignment="1" applyProtection="1">
      <alignment horizontal="left"/>
      <protection/>
    </xf>
    <xf numFmtId="0" fontId="0" fillId="0" borderId="0" xfId="0" applyAlignment="1" applyProtection="1">
      <alignment horizontal="left" shrinkToFit="1"/>
      <protection/>
    </xf>
    <xf numFmtId="0" fontId="35" fillId="0" borderId="1" xfId="0" applyFont="1" applyBorder="1" applyAlignment="1" applyProtection="1">
      <alignment/>
      <protection/>
    </xf>
    <xf numFmtId="0" fontId="0" fillId="0" borderId="1" xfId="0" applyBorder="1" applyAlignment="1" applyProtection="1">
      <alignment horizontal="center" shrinkToFit="1"/>
      <protection/>
    </xf>
    <xf numFmtId="0" fontId="0" fillId="0" borderId="3" xfId="0" applyBorder="1" applyAlignment="1" applyProtection="1">
      <alignment horizontal="center"/>
      <protection/>
    </xf>
    <xf numFmtId="0" fontId="27" fillId="0" borderId="0" xfId="0" applyFont="1" applyFill="1" applyAlignment="1" applyProtection="1">
      <alignment/>
      <protection hidden="1"/>
    </xf>
    <xf numFmtId="0" fontId="38" fillId="0" borderId="0" xfId="0" applyFont="1" applyFill="1" applyBorder="1" applyAlignment="1" applyProtection="1">
      <alignment horizontal="left"/>
      <protection hidden="1"/>
    </xf>
    <xf numFmtId="0" fontId="40" fillId="0" borderId="0" xfId="0" applyFont="1" applyFill="1" applyAlignment="1" applyProtection="1">
      <alignment horizontal="center"/>
      <protection hidden="1"/>
    </xf>
    <xf numFmtId="0" fontId="24" fillId="0" borderId="0" xfId="0" applyFont="1" applyFill="1" applyAlignment="1" applyProtection="1">
      <alignment horizontal="center"/>
      <protection hidden="1"/>
    </xf>
    <xf numFmtId="0" fontId="39" fillId="0" borderId="0" xfId="0" applyFont="1" applyFill="1" applyBorder="1" applyAlignment="1" applyProtection="1">
      <alignment horizontal="left" vertical="center"/>
      <protection hidden="1"/>
    </xf>
    <xf numFmtId="49" fontId="24" fillId="2" borderId="1" xfId="0" applyNumberFormat="1" applyFont="1" applyFill="1" applyBorder="1" applyAlignment="1" applyProtection="1">
      <alignment horizontal="center" vertical="center"/>
      <protection hidden="1" locked="0"/>
    </xf>
    <xf numFmtId="0" fontId="0" fillId="0" borderId="0" xfId="0" applyFont="1" applyFill="1" applyAlignment="1" applyProtection="1">
      <alignment vertical="center"/>
      <protection hidden="1"/>
    </xf>
    <xf numFmtId="0" fontId="24" fillId="0" borderId="0" xfId="0" applyFont="1" applyFill="1" applyAlignment="1" applyProtection="1">
      <alignment vertical="center"/>
      <protection hidden="1"/>
    </xf>
    <xf numFmtId="0" fontId="37" fillId="0" borderId="0" xfId="0"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0" fontId="24" fillId="0" borderId="0" xfId="0" applyFont="1" applyFill="1" applyAlignment="1" applyProtection="1">
      <alignment vertical="center" shrinkToFit="1"/>
      <protection hidden="1"/>
    </xf>
    <xf numFmtId="0" fontId="38" fillId="0" borderId="0" xfId="0" applyFont="1" applyFill="1" applyBorder="1" applyAlignment="1" applyProtection="1">
      <alignment horizontal="left" vertical="center"/>
      <protection hidden="1"/>
    </xf>
    <xf numFmtId="0" fontId="24" fillId="0" borderId="4" xfId="0" applyFont="1" applyFill="1" applyBorder="1" applyAlignment="1" applyProtection="1">
      <alignment vertical="center"/>
      <protection hidden="1"/>
    </xf>
    <xf numFmtId="0" fontId="24" fillId="0" borderId="4" xfId="0" applyFont="1" applyFill="1" applyBorder="1" applyAlignment="1" applyProtection="1">
      <alignment horizontal="right" vertical="center"/>
      <protection hidden="1"/>
    </xf>
    <xf numFmtId="14" fontId="24" fillId="0" borderId="4" xfId="0" applyNumberFormat="1" applyFont="1" applyFill="1" applyBorder="1" applyAlignment="1" applyProtection="1">
      <alignment horizontal="left" vertical="center" shrinkToFit="1"/>
      <protection hidden="1"/>
    </xf>
    <xf numFmtId="0" fontId="24" fillId="0" borderId="5" xfId="0" applyFont="1" applyFill="1" applyBorder="1" applyAlignment="1" applyProtection="1">
      <alignment vertical="center"/>
      <protection hidden="1"/>
    </xf>
    <xf numFmtId="0" fontId="24" fillId="0" borderId="6" xfId="0" applyFont="1" applyFill="1" applyBorder="1" applyAlignment="1" applyProtection="1">
      <alignment horizontal="center" vertical="center"/>
      <protection hidden="1"/>
    </xf>
    <xf numFmtId="0" fontId="24" fillId="0" borderId="7" xfId="0" applyFont="1" applyFill="1" applyBorder="1" applyAlignment="1" applyProtection="1">
      <alignment vertical="center"/>
      <protection hidden="1"/>
    </xf>
    <xf numFmtId="0" fontId="42" fillId="0" borderId="0" xfId="0" applyFont="1" applyFill="1" applyAlignment="1" applyProtection="1">
      <alignment vertical="center"/>
      <protection hidden="1"/>
    </xf>
    <xf numFmtId="0" fontId="24" fillId="0" borderId="1" xfId="0" applyFont="1" applyFill="1" applyBorder="1" applyAlignment="1" applyProtection="1">
      <alignment horizontal="center" vertical="center" wrapText="1" shrinkToFit="1"/>
      <protection hidden="1"/>
    </xf>
    <xf numFmtId="0" fontId="42" fillId="0" borderId="1" xfId="0" applyFont="1" applyFill="1" applyBorder="1" applyAlignment="1" applyProtection="1">
      <alignment vertical="center"/>
      <protection hidden="1"/>
    </xf>
    <xf numFmtId="193" fontId="24" fillId="0" borderId="0" xfId="0" applyNumberFormat="1" applyFont="1" applyFill="1" applyAlignment="1" applyProtection="1">
      <alignment vertical="center"/>
      <protection hidden="1"/>
    </xf>
    <xf numFmtId="193" fontId="24" fillId="0" borderId="1" xfId="0" applyNumberFormat="1" applyFont="1" applyFill="1" applyBorder="1" applyAlignment="1" applyProtection="1">
      <alignment vertical="center"/>
      <protection hidden="1"/>
    </xf>
    <xf numFmtId="0" fontId="24" fillId="0" borderId="1" xfId="0" applyFont="1" applyFill="1" applyBorder="1" applyAlignment="1" applyProtection="1">
      <alignment vertical="center"/>
      <protection hidden="1"/>
    </xf>
    <xf numFmtId="193" fontId="24" fillId="0" borderId="1" xfId="0" applyNumberFormat="1" applyFont="1" applyFill="1" applyBorder="1" applyAlignment="1" applyProtection="1">
      <alignment vertical="center" shrinkToFit="1"/>
      <protection hidden="1"/>
    </xf>
    <xf numFmtId="0" fontId="24" fillId="0" borderId="1" xfId="0" applyFont="1" applyFill="1" applyBorder="1" applyAlignment="1" applyProtection="1">
      <alignment vertical="center" wrapText="1" shrinkToFit="1"/>
      <protection hidden="1"/>
    </xf>
    <xf numFmtId="0" fontId="24" fillId="0" borderId="0" xfId="0" applyFont="1" applyFill="1" applyAlignment="1" applyProtection="1">
      <alignment vertical="center" wrapText="1"/>
      <protection hidden="1"/>
    </xf>
    <xf numFmtId="0" fontId="24" fillId="0" borderId="8" xfId="0" applyFont="1" applyFill="1" applyBorder="1" applyAlignment="1" applyProtection="1">
      <alignment vertical="center" wrapText="1"/>
      <protection hidden="1"/>
    </xf>
    <xf numFmtId="0" fontId="24" fillId="0" borderId="6" xfId="0" applyFont="1" applyFill="1" applyBorder="1" applyAlignment="1" applyProtection="1">
      <alignment horizontal="center" vertical="center" wrapText="1"/>
      <protection hidden="1"/>
    </xf>
    <xf numFmtId="0" fontId="24" fillId="0" borderId="9" xfId="0" applyFont="1" applyFill="1" applyBorder="1" applyAlignment="1" applyProtection="1">
      <alignment horizontal="center" vertical="center" wrapText="1"/>
      <protection hidden="1"/>
    </xf>
    <xf numFmtId="0" fontId="41" fillId="0" borderId="1" xfId="0" applyFont="1" applyFill="1" applyBorder="1" applyAlignment="1" applyProtection="1">
      <alignment vertical="center" wrapText="1"/>
      <protection hidden="1"/>
    </xf>
    <xf numFmtId="0" fontId="24" fillId="0" borderId="1" xfId="0" applyFont="1" applyFill="1" applyBorder="1" applyAlignment="1" applyProtection="1">
      <alignment vertical="center" wrapText="1"/>
      <protection hidden="1"/>
    </xf>
    <xf numFmtId="0" fontId="47" fillId="0" borderId="0" xfId="0" applyFont="1" applyFill="1" applyAlignment="1" applyProtection="1">
      <alignment vertical="center" wrapText="1"/>
      <protection hidden="1"/>
    </xf>
    <xf numFmtId="0" fontId="0" fillId="0" borderId="0" xfId="0" applyFont="1" applyFill="1" applyAlignment="1" applyProtection="1">
      <alignment vertical="center" wrapText="1"/>
      <protection hidden="1"/>
    </xf>
    <xf numFmtId="0" fontId="49" fillId="0" borderId="0" xfId="0" applyFont="1" applyFill="1" applyAlignment="1" applyProtection="1">
      <alignment vertical="center"/>
      <protection hidden="1"/>
    </xf>
    <xf numFmtId="0" fontId="51" fillId="0" borderId="0" xfId="0" applyFont="1" applyFill="1" applyAlignment="1" applyProtection="1">
      <alignment vertical="center" shrinkToFit="1"/>
      <protection hidden="1"/>
    </xf>
    <xf numFmtId="0" fontId="51" fillId="0" borderId="0" xfId="0" applyFont="1" applyFill="1" applyAlignment="1" applyProtection="1">
      <alignment vertical="center"/>
      <protection hidden="1"/>
    </xf>
    <xf numFmtId="0" fontId="49" fillId="0" borderId="0" xfId="0" applyFont="1" applyFill="1" applyBorder="1" applyAlignment="1" applyProtection="1">
      <alignment vertical="center"/>
      <protection hidden="1"/>
    </xf>
    <xf numFmtId="0" fontId="51" fillId="0" borderId="0" xfId="0" applyFont="1" applyFill="1" applyBorder="1" applyAlignment="1" applyProtection="1">
      <alignment vertical="center" shrinkToFit="1"/>
      <protection hidden="1"/>
    </xf>
    <xf numFmtId="0" fontId="51" fillId="0" borderId="0" xfId="0" applyFont="1" applyFill="1" applyBorder="1" applyAlignment="1" applyProtection="1">
      <alignment vertical="center"/>
      <protection hidden="1"/>
    </xf>
    <xf numFmtId="0" fontId="52" fillId="0" borderId="0" xfId="0" applyFont="1" applyFill="1" applyAlignment="1" applyProtection="1">
      <alignment vertical="center"/>
      <protection hidden="1"/>
    </xf>
    <xf numFmtId="0" fontId="20" fillId="0" borderId="0" xfId="0" applyFont="1" applyFill="1" applyAlignment="1" applyProtection="1">
      <alignment vertical="center" wrapText="1"/>
      <protection hidden="1"/>
    </xf>
    <xf numFmtId="0" fontId="0" fillId="0" borderId="0" xfId="0" applyFont="1" applyFill="1" applyAlignment="1" applyProtection="1">
      <alignment vertical="center" wrapText="1" shrinkToFit="1"/>
      <protection hidden="1"/>
    </xf>
    <xf numFmtId="0" fontId="0" fillId="0" borderId="0" xfId="0" applyFont="1" applyFill="1" applyAlignment="1" applyProtection="1">
      <alignment vertical="center" wrapText="1"/>
      <protection hidden="1"/>
    </xf>
    <xf numFmtId="0" fontId="36" fillId="0" borderId="0" xfId="0" applyFont="1" applyFill="1" applyAlignment="1" applyProtection="1">
      <alignment vertical="center" wrapText="1"/>
      <protection hidden="1"/>
    </xf>
    <xf numFmtId="0" fontId="24" fillId="0" borderId="1" xfId="0" applyFont="1" applyFill="1" applyBorder="1" applyAlignment="1" applyProtection="1">
      <alignment horizontal="right" vertical="center" wrapText="1"/>
      <protection hidden="1"/>
    </xf>
    <xf numFmtId="14" fontId="24" fillId="0" borderId="1" xfId="0" applyNumberFormat="1" applyFont="1" applyFill="1" applyBorder="1" applyAlignment="1" applyProtection="1">
      <alignment horizontal="left" vertical="center" wrapText="1" shrinkToFit="1"/>
      <protection hidden="1"/>
    </xf>
    <xf numFmtId="0" fontId="53" fillId="0" borderId="1" xfId="0" applyFont="1" applyFill="1" applyBorder="1" applyAlignment="1" applyProtection="1">
      <alignment horizontal="center" vertical="center" wrapText="1"/>
      <protection hidden="1"/>
    </xf>
    <xf numFmtId="0" fontId="24" fillId="0" borderId="1" xfId="0" applyFont="1" applyFill="1" applyBorder="1" applyAlignment="1" applyProtection="1">
      <alignment horizontal="left" vertical="center" wrapText="1"/>
      <protection hidden="1"/>
    </xf>
    <xf numFmtId="0" fontId="38" fillId="0" borderId="0" xfId="0" applyFont="1" applyFill="1" applyBorder="1" applyAlignment="1" applyProtection="1">
      <alignment horizontal="left"/>
      <protection/>
    </xf>
    <xf numFmtId="0" fontId="40" fillId="0" borderId="0" xfId="0" applyFont="1" applyFill="1" applyAlignment="1" applyProtection="1">
      <alignment horizontal="center"/>
      <protection/>
    </xf>
    <xf numFmtId="0" fontId="24" fillId="0" borderId="0" xfId="0" applyFont="1" applyFill="1" applyAlignment="1" applyProtection="1">
      <alignment horizontal="center"/>
      <protection/>
    </xf>
    <xf numFmtId="0" fontId="39" fillId="0" borderId="0" xfId="0" applyFont="1" applyFill="1" applyBorder="1" applyAlignment="1" applyProtection="1">
      <alignment horizontal="left" vertical="center"/>
      <protection/>
    </xf>
    <xf numFmtId="0" fontId="33" fillId="0" borderId="0" xfId="0" applyFont="1" applyFill="1" applyBorder="1" applyAlignment="1" applyProtection="1">
      <alignment horizontal="left" vertical="center"/>
      <protection/>
    </xf>
    <xf numFmtId="0" fontId="0" fillId="0" borderId="1" xfId="0" applyFont="1" applyBorder="1" applyAlignment="1" applyProtection="1">
      <alignment/>
      <protection/>
    </xf>
    <xf numFmtId="0" fontId="34" fillId="2" borderId="1" xfId="0" applyFont="1" applyFill="1" applyBorder="1" applyAlignment="1" applyProtection="1">
      <alignment horizontal="center"/>
      <protection locked="0"/>
    </xf>
    <xf numFmtId="0" fontId="33" fillId="0" borderId="0" xfId="0" applyFont="1" applyFill="1" applyBorder="1" applyAlignment="1" applyProtection="1">
      <alignment horizontal="left" vertical="center"/>
      <protection hidden="1"/>
    </xf>
    <xf numFmtId="0" fontId="34" fillId="0" borderId="1" xfId="0" applyFont="1" applyFill="1" applyBorder="1" applyAlignment="1" applyProtection="1">
      <alignment/>
      <protection hidden="1"/>
    </xf>
    <xf numFmtId="0" fontId="0" fillId="0" borderId="0" xfId="0" applyFont="1" applyFill="1" applyAlignment="1" applyProtection="1">
      <alignment/>
      <protection hidden="1"/>
    </xf>
    <xf numFmtId="0" fontId="40" fillId="0" borderId="0" xfId="0" applyFont="1" applyFill="1" applyAlignment="1" applyProtection="1">
      <alignment horizontal="center" shrinkToFit="1"/>
      <protection hidden="1"/>
    </xf>
    <xf numFmtId="0" fontId="0" fillId="0" borderId="0" xfId="0" applyFont="1" applyFill="1" applyAlignment="1" applyProtection="1">
      <alignment horizontal="center" shrinkToFit="1"/>
      <protection hidden="1"/>
    </xf>
    <xf numFmtId="0" fontId="0" fillId="0" borderId="1" xfId="0" applyFont="1" applyFill="1" applyBorder="1" applyAlignment="1" applyProtection="1">
      <alignment/>
      <protection hidden="1"/>
    </xf>
    <xf numFmtId="0" fontId="0" fillId="0" borderId="1" xfId="0" applyFont="1" applyFill="1" applyBorder="1" applyAlignment="1" applyProtection="1">
      <alignment horizontal="center"/>
      <protection hidden="1"/>
    </xf>
    <xf numFmtId="1" fontId="0" fillId="0" borderId="1" xfId="0" applyNumberFormat="1" applyFont="1" applyFill="1" applyBorder="1" applyAlignment="1" applyProtection="1">
      <alignment horizontal="center"/>
      <protection hidden="1"/>
    </xf>
    <xf numFmtId="193" fontId="0" fillId="0" borderId="1" xfId="0" applyNumberFormat="1" applyFont="1" applyFill="1" applyBorder="1" applyAlignment="1" applyProtection="1">
      <alignment horizontal="center"/>
      <protection hidden="1"/>
    </xf>
    <xf numFmtId="0" fontId="0" fillId="0" borderId="0" xfId="0" applyFont="1" applyFill="1" applyAlignment="1" applyProtection="1">
      <alignment horizontal="center"/>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193" fontId="58" fillId="0" borderId="0" xfId="0" applyNumberFormat="1" applyFont="1" applyFill="1" applyBorder="1" applyAlignment="1" applyProtection="1">
      <alignment vertical="center"/>
      <protection hidden="1"/>
    </xf>
    <xf numFmtId="0" fontId="57" fillId="0" borderId="0" xfId="0" applyFont="1" applyFill="1" applyBorder="1" applyAlignment="1" applyProtection="1">
      <alignment vertical="center"/>
      <protection hidden="1"/>
    </xf>
    <xf numFmtId="0" fontId="0" fillId="0" borderId="0" xfId="0" applyFont="1" applyFill="1" applyAlignment="1" applyProtection="1">
      <alignment horizontal="right"/>
      <protection hidden="1"/>
    </xf>
    <xf numFmtId="14" fontId="0" fillId="0" borderId="0" xfId="0" applyNumberFormat="1" applyFont="1" applyFill="1" applyAlignment="1" applyProtection="1">
      <alignment/>
      <protection hidden="1"/>
    </xf>
    <xf numFmtId="193" fontId="56" fillId="0" borderId="0" xfId="0" applyNumberFormat="1" applyFont="1" applyFill="1" applyBorder="1" applyAlignment="1" applyProtection="1">
      <alignment/>
      <protection hidden="1"/>
    </xf>
    <xf numFmtId="0" fontId="0" fillId="0" borderId="0" xfId="0" applyFont="1" applyFill="1" applyBorder="1" applyAlignment="1" applyProtection="1">
      <alignment/>
      <protection hidden="1"/>
    </xf>
    <xf numFmtId="193" fontId="0" fillId="0" borderId="0" xfId="0" applyNumberFormat="1" applyFont="1" applyFill="1" applyBorder="1" applyAlignment="1" applyProtection="1">
      <alignment/>
      <protection hidden="1"/>
    </xf>
    <xf numFmtId="0" fontId="59" fillId="0" borderId="6" xfId="0" applyFont="1" applyFill="1" applyBorder="1" applyAlignment="1" applyProtection="1">
      <alignment/>
      <protection hidden="1"/>
    </xf>
    <xf numFmtId="193" fontId="0" fillId="0" borderId="10" xfId="0" applyNumberFormat="1"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7" xfId="0" applyFont="1" applyFill="1" applyBorder="1" applyAlignment="1" applyProtection="1">
      <alignment/>
      <protection hidden="1"/>
    </xf>
    <xf numFmtId="0" fontId="0" fillId="0" borderId="0" xfId="0" applyFont="1" applyFill="1" applyBorder="1" applyAlignment="1" applyProtection="1">
      <alignment/>
      <protection hidden="1"/>
    </xf>
    <xf numFmtId="193" fontId="0" fillId="0" borderId="0" xfId="0" applyNumberFormat="1" applyFont="1" applyFill="1" applyBorder="1" applyAlignment="1" applyProtection="1">
      <alignment/>
      <protection hidden="1"/>
    </xf>
    <xf numFmtId="0" fontId="59" fillId="0" borderId="0" xfId="0" applyFont="1" applyFill="1" applyBorder="1" applyAlignment="1" applyProtection="1">
      <alignment/>
      <protection hidden="1"/>
    </xf>
    <xf numFmtId="193" fontId="0" fillId="0" borderId="0" xfId="0" applyNumberFormat="1" applyFont="1" applyFill="1" applyBorder="1" applyAlignment="1" applyProtection="1">
      <alignment/>
      <protection hidden="1"/>
    </xf>
    <xf numFmtId="0" fontId="59" fillId="0" borderId="6" xfId="0" applyFont="1" applyFill="1" applyBorder="1" applyAlignment="1" applyProtection="1">
      <alignment shrinkToFit="1"/>
      <protection hidden="1"/>
    </xf>
    <xf numFmtId="193" fontId="0" fillId="0" borderId="10" xfId="0" applyNumberFormat="1"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7" xfId="0" applyFont="1" applyFill="1" applyBorder="1" applyAlignment="1" applyProtection="1">
      <alignment/>
      <protection hidden="1"/>
    </xf>
    <xf numFmtId="0" fontId="0" fillId="0" borderId="0" xfId="0" applyFont="1" applyFill="1" applyAlignment="1" applyProtection="1">
      <alignment/>
      <protection hidden="1"/>
    </xf>
    <xf numFmtId="0" fontId="0" fillId="0" borderId="0" xfId="0" applyFont="1" applyFill="1" applyBorder="1" applyAlignment="1" applyProtection="1">
      <alignment wrapText="1" shrinkToFit="1"/>
      <protection hidden="1"/>
    </xf>
    <xf numFmtId="0" fontId="40" fillId="0" borderId="0" xfId="0" applyFont="1" applyFill="1" applyAlignment="1" applyProtection="1">
      <alignment horizontal="center" vertical="center"/>
      <protection hidden="1"/>
    </xf>
    <xf numFmtId="0" fontId="24" fillId="0" borderId="0" xfId="0" applyFont="1" applyFill="1" applyAlignment="1" applyProtection="1">
      <alignment horizontal="center" vertical="center"/>
      <protection hidden="1"/>
    </xf>
    <xf numFmtId="0" fontId="41" fillId="0" borderId="2" xfId="0" applyFont="1" applyFill="1" applyBorder="1" applyAlignment="1" applyProtection="1">
      <alignment vertical="center" wrapText="1"/>
      <protection hidden="1"/>
    </xf>
    <xf numFmtId="0" fontId="42" fillId="0" borderId="11" xfId="0" applyFont="1" applyFill="1" applyBorder="1" applyAlignment="1" applyProtection="1">
      <alignment vertical="center" wrapText="1"/>
      <protection hidden="1"/>
    </xf>
    <xf numFmtId="0" fontId="42" fillId="0" borderId="3" xfId="0" applyFont="1" applyFill="1" applyBorder="1" applyAlignment="1" applyProtection="1">
      <alignment vertical="center" wrapText="1"/>
      <protection hidden="1"/>
    </xf>
    <xf numFmtId="0" fontId="41" fillId="0" borderId="6" xfId="0" applyFont="1" applyFill="1" applyBorder="1" applyAlignment="1" applyProtection="1">
      <alignment vertical="center" wrapText="1"/>
      <protection hidden="1"/>
    </xf>
    <xf numFmtId="0" fontId="24" fillId="0" borderId="10" xfId="0" applyFont="1" applyFill="1" applyBorder="1" applyAlignment="1" applyProtection="1">
      <alignment horizontal="center" vertical="center"/>
      <protection hidden="1"/>
    </xf>
    <xf numFmtId="0" fontId="24" fillId="0" borderId="7" xfId="0" applyFont="1" applyFill="1" applyBorder="1" applyAlignment="1" applyProtection="1">
      <alignment horizontal="center" vertical="center"/>
      <protection hidden="1"/>
    </xf>
    <xf numFmtId="49" fontId="24" fillId="2" borderId="3" xfId="0" applyNumberFormat="1" applyFont="1" applyFill="1" applyBorder="1" applyAlignment="1" applyProtection="1">
      <alignment horizontal="center" vertical="center"/>
      <protection hidden="1" locked="0"/>
    </xf>
    <xf numFmtId="0" fontId="24" fillId="0" borderId="1" xfId="0" applyFont="1" applyFill="1" applyBorder="1" applyAlignment="1" applyProtection="1">
      <alignment horizontal="center" vertical="center"/>
      <protection hidden="1"/>
    </xf>
    <xf numFmtId="0" fontId="39" fillId="0" borderId="6" xfId="0" applyFont="1" applyFill="1" applyBorder="1" applyAlignment="1" applyProtection="1">
      <alignment horizontal="right" vertical="center"/>
      <protection hidden="1"/>
    </xf>
    <xf numFmtId="0" fontId="43" fillId="0" borderId="1" xfId="0" applyFont="1" applyFill="1" applyBorder="1" applyAlignment="1" applyProtection="1">
      <alignment horizontal="right" vertical="center" wrapText="1"/>
      <protection hidden="1"/>
    </xf>
    <xf numFmtId="0" fontId="42" fillId="0" borderId="6" xfId="0" applyFont="1" applyFill="1" applyBorder="1" applyAlignment="1" applyProtection="1">
      <alignment vertical="center" wrapText="1"/>
      <protection hidden="1"/>
    </xf>
    <xf numFmtId="0" fontId="42" fillId="0" borderId="10" xfId="0" applyFont="1" applyFill="1" applyBorder="1" applyAlignment="1" applyProtection="1">
      <alignment horizontal="center" vertical="center"/>
      <protection hidden="1"/>
    </xf>
    <xf numFmtId="0" fontId="42" fillId="0" borderId="7" xfId="0" applyFont="1" applyFill="1" applyBorder="1" applyAlignment="1" applyProtection="1">
      <alignment horizontal="center" vertical="center"/>
      <protection hidden="1"/>
    </xf>
    <xf numFmtId="0" fontId="43" fillId="0" borderId="6" xfId="0" applyFont="1" applyFill="1" applyBorder="1" applyAlignment="1" applyProtection="1">
      <alignment horizontal="right" vertical="center" wrapText="1"/>
      <protection hidden="1"/>
    </xf>
    <xf numFmtId="49" fontId="24" fillId="0" borderId="7" xfId="0" applyNumberFormat="1" applyFont="1" applyFill="1" applyBorder="1" applyAlignment="1" applyProtection="1">
      <alignment horizontal="center" vertical="center"/>
      <protection hidden="1"/>
    </xf>
    <xf numFmtId="0" fontId="43" fillId="0" borderId="1" xfId="0" applyFont="1" applyFill="1" applyBorder="1" applyAlignment="1" applyProtection="1">
      <alignment vertical="center" wrapText="1"/>
      <protection hidden="1"/>
    </xf>
    <xf numFmtId="0" fontId="42" fillId="0" borderId="1" xfId="0" applyFont="1" applyFill="1" applyBorder="1" applyAlignment="1" applyProtection="1">
      <alignment vertical="center" wrapText="1"/>
      <protection hidden="1"/>
    </xf>
    <xf numFmtId="0" fontId="43" fillId="0" borderId="2" xfId="0" applyFont="1" applyFill="1" applyBorder="1" applyAlignment="1" applyProtection="1">
      <alignment vertical="center" wrapText="1"/>
      <protection hidden="1"/>
    </xf>
    <xf numFmtId="0" fontId="24" fillId="0" borderId="11" xfId="0" applyFont="1" applyFill="1" applyBorder="1" applyAlignment="1" applyProtection="1">
      <alignment vertical="center" wrapText="1"/>
      <protection hidden="1"/>
    </xf>
    <xf numFmtId="0" fontId="24" fillId="0" borderId="3" xfId="0" applyFont="1" applyFill="1" applyBorder="1" applyAlignment="1" applyProtection="1">
      <alignment vertical="center" wrapText="1"/>
      <protection hidden="1"/>
    </xf>
    <xf numFmtId="49" fontId="24" fillId="0" borderId="0" xfId="0" applyNumberFormat="1" applyFont="1" applyFill="1" applyBorder="1" applyAlignment="1" applyProtection="1">
      <alignment horizontal="center" vertical="center"/>
      <protection hidden="1"/>
    </xf>
    <xf numFmtId="0" fontId="24" fillId="0" borderId="6" xfId="0" applyFont="1" applyFill="1" applyBorder="1" applyAlignment="1" applyProtection="1">
      <alignment vertical="center" wrapText="1"/>
      <protection hidden="1"/>
    </xf>
    <xf numFmtId="0" fontId="24" fillId="0" borderId="2" xfId="0" applyFont="1" applyFill="1" applyBorder="1" applyAlignment="1" applyProtection="1">
      <alignment vertical="center" wrapText="1"/>
      <protection hidden="1"/>
    </xf>
    <xf numFmtId="49" fontId="24" fillId="2" borderId="2" xfId="0" applyNumberFormat="1" applyFont="1" applyFill="1" applyBorder="1" applyAlignment="1" applyProtection="1">
      <alignment horizontal="center" vertical="center"/>
      <protection hidden="1" locked="0"/>
    </xf>
    <xf numFmtId="0" fontId="39" fillId="0" borderId="6" xfId="0" applyFont="1" applyFill="1" applyBorder="1" applyAlignment="1" applyProtection="1">
      <alignment vertical="center" wrapText="1"/>
      <protection hidden="1"/>
    </xf>
    <xf numFmtId="0" fontId="44" fillId="0" borderId="0" xfId="0" applyFont="1" applyFill="1" applyAlignment="1" applyProtection="1">
      <alignment vertical="center" wrapText="1"/>
      <protection hidden="1"/>
    </xf>
    <xf numFmtId="0" fontId="43" fillId="0" borderId="6" xfId="0" applyFont="1" applyFill="1" applyBorder="1" applyAlignment="1" applyProtection="1">
      <alignment horizontal="right" vertical="center"/>
      <protection hidden="1"/>
    </xf>
    <xf numFmtId="0" fontId="39" fillId="0" borderId="1" xfId="0" applyFont="1" applyFill="1" applyBorder="1" applyAlignment="1" applyProtection="1">
      <alignment vertical="center" wrapText="1"/>
      <protection hidden="1"/>
    </xf>
    <xf numFmtId="0" fontId="44" fillId="0" borderId="1" xfId="0" applyFont="1" applyFill="1" applyBorder="1" applyAlignment="1" applyProtection="1">
      <alignment vertical="center" wrapText="1"/>
      <protection hidden="1"/>
    </xf>
    <xf numFmtId="0" fontId="42" fillId="0" borderId="1" xfId="0" applyFont="1" applyFill="1" applyBorder="1" applyAlignment="1" applyProtection="1">
      <alignment horizontal="center" vertical="center"/>
      <protection hidden="1"/>
    </xf>
    <xf numFmtId="0" fontId="43" fillId="0" borderId="0" xfId="0" applyFont="1" applyFill="1" applyAlignment="1" applyProtection="1">
      <alignment horizontal="right" vertical="center" wrapText="1"/>
      <protection hidden="1"/>
    </xf>
    <xf numFmtId="0" fontId="39" fillId="0" borderId="0" xfId="0" applyFont="1" applyFill="1" applyAlignment="1" applyProtection="1">
      <alignment vertical="center" wrapText="1"/>
      <protection hidden="1"/>
    </xf>
    <xf numFmtId="0" fontId="45" fillId="0" borderId="0" xfId="0" applyFont="1" applyFill="1" applyAlignment="1" applyProtection="1">
      <alignment vertical="center" wrapText="1"/>
      <protection hidden="1"/>
    </xf>
    <xf numFmtId="0" fontId="42" fillId="0" borderId="0" xfId="0" applyFont="1" applyFill="1" applyAlignment="1" applyProtection="1">
      <alignment vertical="center" wrapText="1"/>
      <protection hidden="1"/>
    </xf>
    <xf numFmtId="0" fontId="24" fillId="0" borderId="12" xfId="0" applyFont="1" applyFill="1" applyBorder="1" applyAlignment="1" applyProtection="1">
      <alignment horizontal="left" vertical="center" wrapText="1"/>
      <protection hidden="1"/>
    </xf>
    <xf numFmtId="0" fontId="24" fillId="0" borderId="13" xfId="0" applyFont="1" applyFill="1" applyBorder="1" applyAlignment="1" applyProtection="1">
      <alignment horizontal="left" vertical="center" wrapText="1"/>
      <protection hidden="1"/>
    </xf>
    <xf numFmtId="0" fontId="24" fillId="0" borderId="14" xfId="0" applyFont="1" applyFill="1" applyBorder="1" applyAlignment="1" applyProtection="1">
      <alignment horizontal="left" vertical="center" wrapText="1"/>
      <protection hidden="1"/>
    </xf>
    <xf numFmtId="0" fontId="24" fillId="0" borderId="3" xfId="0" applyFont="1" applyFill="1" applyBorder="1" applyAlignment="1" applyProtection="1">
      <alignment horizontal="center" vertical="center"/>
      <protection hidden="1"/>
    </xf>
    <xf numFmtId="0" fontId="24" fillId="0" borderId="2" xfId="0" applyFont="1" applyFill="1" applyBorder="1" applyAlignment="1" applyProtection="1">
      <alignment horizontal="center" vertical="center"/>
      <protection hidden="1"/>
    </xf>
    <xf numFmtId="0" fontId="46" fillId="0" borderId="6" xfId="0" applyFont="1" applyFill="1" applyBorder="1" applyAlignment="1" applyProtection="1">
      <alignment vertical="center" wrapText="1"/>
      <protection hidden="1"/>
    </xf>
    <xf numFmtId="0" fontId="46" fillId="0" borderId="10" xfId="0" applyFont="1" applyFill="1" applyBorder="1" applyAlignment="1" applyProtection="1">
      <alignment horizontal="center" vertical="center"/>
      <protection hidden="1"/>
    </xf>
    <xf numFmtId="0" fontId="46" fillId="0" borderId="7" xfId="0" applyFont="1" applyFill="1" applyBorder="1" applyAlignment="1" applyProtection="1">
      <alignment horizontal="center" vertical="center"/>
      <protection hidden="1"/>
    </xf>
    <xf numFmtId="0" fontId="43" fillId="0" borderId="8" xfId="0" applyFont="1" applyFill="1" applyBorder="1" applyAlignment="1" applyProtection="1">
      <alignment horizontal="right" vertical="center" wrapText="1"/>
      <protection hidden="1"/>
    </xf>
    <xf numFmtId="0" fontId="24" fillId="0" borderId="5" xfId="0" applyFont="1" applyFill="1" applyBorder="1" applyAlignment="1" applyProtection="1">
      <alignment horizontal="center" vertical="center"/>
      <protection hidden="1"/>
    </xf>
    <xf numFmtId="0" fontId="36" fillId="0" borderId="15" xfId="0" applyFont="1" applyFill="1" applyBorder="1" applyAlignment="1" applyProtection="1">
      <alignment horizontal="center" vertical="center" wrapText="1"/>
      <protection hidden="1"/>
    </xf>
    <xf numFmtId="0" fontId="42" fillId="0" borderId="16" xfId="0" applyFont="1" applyFill="1" applyBorder="1" applyAlignment="1" applyProtection="1">
      <alignment horizontal="center" vertical="center"/>
      <protection hidden="1"/>
    </xf>
    <xf numFmtId="0" fontId="24" fillId="2" borderId="1" xfId="0" applyFont="1" applyFill="1" applyBorder="1" applyAlignment="1" applyProtection="1">
      <alignment horizontal="left" vertical="center" shrinkToFit="1"/>
      <protection hidden="1" locked="0"/>
    </xf>
    <xf numFmtId="0" fontId="24" fillId="0" borderId="0" xfId="0" applyFont="1" applyFill="1" applyAlignment="1" applyProtection="1">
      <alignment horizontal="left" vertical="center" shrinkToFit="1"/>
      <protection hidden="1"/>
    </xf>
    <xf numFmtId="196" fontId="24" fillId="2" borderId="1" xfId="0" applyNumberFormat="1" applyFont="1" applyFill="1" applyBorder="1" applyAlignment="1" applyProtection="1">
      <alignment horizontal="left" vertical="center" shrinkToFit="1"/>
      <protection hidden="1" locked="0"/>
    </xf>
    <xf numFmtId="193" fontId="42" fillId="0" borderId="1" xfId="0" applyNumberFormat="1" applyFont="1" applyFill="1" applyBorder="1" applyAlignment="1" applyProtection="1">
      <alignment vertical="center" shrinkToFit="1"/>
      <protection hidden="1"/>
    </xf>
    <xf numFmtId="0" fontId="27" fillId="0" borderId="0" xfId="0" applyFont="1" applyFill="1" applyAlignment="1" applyProtection="1">
      <alignment/>
      <protection hidden="1"/>
    </xf>
    <xf numFmtId="0" fontId="28" fillId="0" borderId="1" xfId="15" applyFont="1" applyFill="1" applyBorder="1" applyAlignment="1" applyProtection="1">
      <alignment horizontal="center" vertical="center"/>
      <protection hidden="1"/>
    </xf>
    <xf numFmtId="0" fontId="24" fillId="0" borderId="0" xfId="0" applyFont="1" applyFill="1" applyAlignment="1">
      <alignment/>
    </xf>
    <xf numFmtId="0" fontId="24" fillId="0" borderId="0" xfId="0" applyFont="1" applyFill="1" applyBorder="1" applyAlignment="1">
      <alignment/>
    </xf>
    <xf numFmtId="0" fontId="24" fillId="0" borderId="0" xfId="0" applyFont="1" applyFill="1" applyAlignment="1">
      <alignment/>
    </xf>
    <xf numFmtId="0" fontId="49" fillId="0" borderId="17" xfId="0" applyFont="1" applyFill="1" applyBorder="1" applyAlignment="1" applyProtection="1">
      <alignment vertical="center" shrinkToFit="1"/>
      <protection hidden="1"/>
    </xf>
    <xf numFmtId="0" fontId="0" fillId="0" borderId="18" xfId="0" applyBorder="1" applyAlignment="1">
      <alignment vertical="center"/>
    </xf>
    <xf numFmtId="0" fontId="30" fillId="0" borderId="6" xfId="0" applyFont="1" applyFill="1" applyBorder="1" applyAlignment="1" applyProtection="1">
      <alignment horizontal="center" vertical="center" wrapText="1"/>
      <protection hidden="1"/>
    </xf>
    <xf numFmtId="0" fontId="30" fillId="0" borderId="10" xfId="0" applyFont="1" applyFill="1" applyBorder="1" applyAlignment="1" applyProtection="1">
      <alignment horizontal="center" vertical="center" wrapText="1"/>
      <protection hidden="1"/>
    </xf>
    <xf numFmtId="0" fontId="30" fillId="0" borderId="7" xfId="0" applyFont="1" applyFill="1" applyBorder="1" applyAlignment="1" applyProtection="1">
      <alignment horizontal="center" vertical="center" wrapText="1"/>
      <protection hidden="1"/>
    </xf>
    <xf numFmtId="0" fontId="32" fillId="0" borderId="4" xfId="0" applyFont="1" applyFill="1" applyBorder="1" applyAlignment="1" applyProtection="1">
      <alignment horizontal="center"/>
      <protection hidden="1"/>
    </xf>
    <xf numFmtId="0" fontId="29" fillId="0" borderId="0" xfId="0" applyFont="1" applyFill="1" applyAlignment="1" applyProtection="1">
      <alignment horizontal="center"/>
      <protection hidden="1"/>
    </xf>
    <xf numFmtId="0" fontId="27" fillId="0" borderId="0" xfId="0" applyFont="1" applyFill="1" applyAlignment="1" applyProtection="1">
      <alignment horizontal="center"/>
      <protection hidden="1"/>
    </xf>
    <xf numFmtId="0" fontId="23" fillId="0" borderId="6"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7" xfId="0" applyFont="1" applyFill="1" applyBorder="1" applyAlignment="1">
      <alignment horizontal="center" vertical="center"/>
    </xf>
    <xf numFmtId="0" fontId="32" fillId="0" borderId="8" xfId="0" applyFont="1" applyFill="1" applyBorder="1" applyAlignment="1">
      <alignment horizontal="center"/>
    </xf>
    <xf numFmtId="0" fontId="32" fillId="0" borderId="4" xfId="0" applyFont="1" applyFill="1" applyBorder="1" applyAlignment="1">
      <alignment horizontal="center"/>
    </xf>
    <xf numFmtId="0" fontId="32" fillId="0" borderId="5" xfId="0" applyFont="1" applyFill="1" applyBorder="1" applyAlignment="1">
      <alignment horizontal="center"/>
    </xf>
    <xf numFmtId="0" fontId="29" fillId="0" borderId="9"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9" xfId="0" applyFont="1" applyFill="1" applyBorder="1" applyAlignment="1">
      <alignment horizontal="center" vertical="center"/>
    </xf>
    <xf numFmtId="0" fontId="37" fillId="0" borderId="6" xfId="0" applyFont="1" applyFill="1" applyBorder="1" applyAlignment="1" applyProtection="1">
      <alignment horizontal="center" vertical="center" wrapText="1"/>
      <protection hidden="1"/>
    </xf>
    <xf numFmtId="0" fontId="37" fillId="0" borderId="10" xfId="0" applyFont="1" applyFill="1" applyBorder="1" applyAlignment="1" applyProtection="1">
      <alignment horizontal="center" vertical="center" wrapText="1"/>
      <protection hidden="1"/>
    </xf>
    <xf numFmtId="0" fontId="37" fillId="0" borderId="7" xfId="0" applyFont="1" applyFill="1" applyBorder="1" applyAlignment="1" applyProtection="1">
      <alignment horizontal="center" vertical="center" wrapText="1"/>
      <protection hidden="1"/>
    </xf>
    <xf numFmtId="49" fontId="24" fillId="2" borderId="1" xfId="0" applyNumberFormat="1" applyFont="1" applyFill="1" applyBorder="1" applyAlignment="1" applyProtection="1">
      <alignment horizontal="center" vertical="center"/>
      <protection hidden="1" locked="0"/>
    </xf>
    <xf numFmtId="0" fontId="0" fillId="0" borderId="1" xfId="0" applyFont="1" applyBorder="1" applyAlignment="1" applyProtection="1">
      <alignment horizontal="center" vertical="center"/>
      <protection locked="0"/>
    </xf>
    <xf numFmtId="0" fontId="24" fillId="0" borderId="1" xfId="0" applyFont="1" applyFill="1" applyBorder="1" applyAlignment="1" applyProtection="1">
      <alignment horizontal="center" vertical="center"/>
      <protection hidden="1"/>
    </xf>
    <xf numFmtId="0" fontId="0" fillId="0" borderId="1" xfId="0" applyFont="1" applyFill="1" applyBorder="1" applyAlignment="1">
      <alignment horizontal="center" vertical="center"/>
    </xf>
    <xf numFmtId="0" fontId="24" fillId="0" borderId="10" xfId="0" applyFont="1" applyFill="1" applyBorder="1" applyAlignment="1" applyProtection="1">
      <alignment horizontal="left" vertical="center"/>
      <protection hidden="1"/>
    </xf>
    <xf numFmtId="0" fontId="0" fillId="0" borderId="10" xfId="0" applyBorder="1" applyAlignment="1">
      <alignment vertical="center"/>
    </xf>
    <xf numFmtId="0" fontId="0" fillId="0" borderId="7" xfId="0" applyBorder="1" applyAlignment="1">
      <alignment vertical="center"/>
    </xf>
    <xf numFmtId="0" fontId="38" fillId="0" borderId="0" xfId="0" applyFont="1" applyFill="1" applyBorder="1" applyAlignment="1" applyProtection="1">
      <alignment horizontal="left" vertical="center" wrapText="1"/>
      <protection hidden="1"/>
    </xf>
    <xf numFmtId="0" fontId="0" fillId="0" borderId="0" xfId="0" applyAlignment="1">
      <alignment vertical="center"/>
    </xf>
    <xf numFmtId="0" fontId="39" fillId="0" borderId="0" xfId="0" applyFont="1" applyFill="1" applyBorder="1" applyAlignment="1" applyProtection="1">
      <alignment horizontal="left" vertical="center" wrapText="1"/>
      <protection hidden="1"/>
    </xf>
    <xf numFmtId="0" fontId="48" fillId="0" borderId="18" xfId="0" applyFont="1" applyFill="1" applyBorder="1" applyAlignment="1" applyProtection="1">
      <alignment vertical="center" wrapText="1"/>
      <protection hidden="1"/>
    </xf>
    <xf numFmtId="0" fontId="50" fillId="0" borderId="0" xfId="0" applyFont="1" applyFill="1" applyAlignment="1">
      <alignment vertical="center" shrinkToFit="1"/>
    </xf>
    <xf numFmtId="0" fontId="37" fillId="0" borderId="1" xfId="0" applyFont="1" applyFill="1" applyBorder="1" applyAlignment="1" applyProtection="1">
      <alignment horizontal="center" vertical="center" wrapText="1"/>
      <protection hidden="1"/>
    </xf>
    <xf numFmtId="0" fontId="0" fillId="0" borderId="1" xfId="0" applyFont="1" applyFill="1" applyBorder="1" applyAlignment="1">
      <alignment horizontal="center" vertical="center" wrapText="1"/>
    </xf>
    <xf numFmtId="0" fontId="53" fillId="0" borderId="6" xfId="0" applyFont="1" applyFill="1" applyBorder="1" applyAlignment="1" applyProtection="1">
      <alignment horizontal="center" vertical="center" wrapText="1"/>
      <protection hidden="1"/>
    </xf>
    <xf numFmtId="0" fontId="24" fillId="0" borderId="7" xfId="0" applyFont="1" applyFill="1" applyBorder="1" applyAlignment="1" applyProtection="1">
      <alignment horizontal="center" vertical="center" wrapText="1"/>
      <protection hidden="1"/>
    </xf>
    <xf numFmtId="0" fontId="0" fillId="0" borderId="0" xfId="0" applyAlignment="1">
      <alignment vertical="center" wrapText="1"/>
    </xf>
    <xf numFmtId="0" fontId="0" fillId="2" borderId="9" xfId="0" applyFill="1"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9" xfId="0"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left"/>
      <protection/>
    </xf>
    <xf numFmtId="0" fontId="0" fillId="0" borderId="1" xfId="0" applyBorder="1" applyAlignment="1">
      <alignment horizontal="left"/>
    </xf>
    <xf numFmtId="0" fontId="0" fillId="0" borderId="6" xfId="0" applyBorder="1" applyAlignment="1" applyProtection="1">
      <alignment horizontal="left"/>
      <protection/>
    </xf>
    <xf numFmtId="0" fontId="0" fillId="0" borderId="7" xfId="0" applyBorder="1" applyAlignment="1">
      <alignment horizontal="left"/>
    </xf>
    <xf numFmtId="0" fontId="35" fillId="0" borderId="1" xfId="0" applyFont="1" applyBorder="1" applyAlignment="1" applyProtection="1">
      <alignment/>
      <protection/>
    </xf>
    <xf numFmtId="0" fontId="35" fillId="0" borderId="1" xfId="0" applyFont="1" applyBorder="1" applyAlignment="1">
      <alignment/>
    </xf>
    <xf numFmtId="0" fontId="37" fillId="0" borderId="6" xfId="0" applyFont="1" applyFill="1" applyBorder="1" applyAlignment="1" applyProtection="1">
      <alignment horizontal="center" vertical="center" wrapText="1"/>
      <protection/>
    </xf>
    <xf numFmtId="0" fontId="37" fillId="0" borderId="10" xfId="0" applyFont="1" applyFill="1" applyBorder="1" applyAlignment="1" applyProtection="1">
      <alignment horizontal="center" vertical="center" wrapText="1"/>
      <protection/>
    </xf>
    <xf numFmtId="0" fontId="37" fillId="0" borderId="7" xfId="0" applyFont="1" applyFill="1" applyBorder="1" applyAlignment="1" applyProtection="1">
      <alignment horizontal="center" vertical="center" wrapText="1"/>
      <protection/>
    </xf>
    <xf numFmtId="0" fontId="40" fillId="0" borderId="0" xfId="0" applyFont="1" applyFill="1" applyAlignment="1" applyProtection="1">
      <alignment horizontal="left" shrinkToFit="1"/>
      <protection/>
    </xf>
    <xf numFmtId="0" fontId="0" fillId="0" borderId="0" xfId="0" applyFont="1" applyFill="1" applyAlignment="1">
      <alignment horizontal="left" shrinkToFit="1"/>
    </xf>
    <xf numFmtId="0" fontId="0" fillId="0" borderId="0" xfId="0" applyAlignment="1">
      <alignment horizontal="left" shrinkToFit="1"/>
    </xf>
    <xf numFmtId="0" fontId="0" fillId="0" borderId="1" xfId="0" applyBorder="1" applyAlignment="1" applyProtection="1">
      <alignment horizontal="center"/>
      <protection/>
    </xf>
    <xf numFmtId="0" fontId="0" fillId="0" borderId="1" xfId="0" applyBorder="1" applyAlignment="1">
      <alignment/>
    </xf>
    <xf numFmtId="0" fontId="40" fillId="0" borderId="0" xfId="0" applyFont="1" applyFill="1" applyAlignment="1" applyProtection="1">
      <alignment horizontal="left" shrinkToFit="1"/>
      <protection hidden="1"/>
    </xf>
    <xf numFmtId="0" fontId="0" fillId="0" borderId="0" xfId="0" applyFont="1" applyFill="1" applyAlignment="1" applyProtection="1">
      <alignment horizontal="left" shrinkToFit="1"/>
      <protection hidden="1"/>
    </xf>
    <xf numFmtId="0" fontId="57" fillId="0" borderId="6" xfId="0" applyFont="1" applyFill="1" applyBorder="1" applyAlignment="1" applyProtection="1">
      <alignment horizontal="center"/>
      <protection hidden="1"/>
    </xf>
    <xf numFmtId="0" fontId="57" fillId="0" borderId="10" xfId="0" applyFont="1" applyFill="1" applyBorder="1" applyAlignment="1" applyProtection="1">
      <alignment horizontal="center"/>
      <protection hidden="1"/>
    </xf>
    <xf numFmtId="0" fontId="57" fillId="0" borderId="7" xfId="0" applyFont="1" applyFill="1" applyBorder="1" applyAlignment="1" applyProtection="1">
      <alignment horizontal="center"/>
      <protection hidden="1"/>
    </xf>
    <xf numFmtId="0" fontId="54" fillId="0" borderId="6" xfId="0" applyFont="1" applyFill="1" applyBorder="1" applyAlignment="1" applyProtection="1">
      <alignment horizontal="center" vertical="center"/>
      <protection hidden="1"/>
    </xf>
    <xf numFmtId="0" fontId="54" fillId="0" borderId="10" xfId="0" applyFont="1" applyFill="1" applyBorder="1" applyAlignment="1" applyProtection="1">
      <alignment horizontal="center" vertical="center"/>
      <protection hidden="1"/>
    </xf>
    <xf numFmtId="0" fontId="54" fillId="0" borderId="7" xfId="0" applyFont="1" applyFill="1" applyBorder="1" applyAlignment="1" applyProtection="1">
      <alignment horizontal="center" vertical="center"/>
      <protection hidden="1"/>
    </xf>
    <xf numFmtId="0" fontId="0" fillId="0" borderId="0" xfId="0" applyFont="1" applyFill="1" applyAlignment="1" applyProtection="1">
      <alignment horizontal="center"/>
      <protection hidden="1"/>
    </xf>
    <xf numFmtId="0" fontId="56" fillId="0" borderId="9" xfId="0" applyFont="1" applyFill="1" applyBorder="1" applyAlignment="1" applyProtection="1">
      <alignment horizontal="center" vertical="center"/>
      <protection hidden="1"/>
    </xf>
    <xf numFmtId="0" fontId="56" fillId="0" borderId="18" xfId="0" applyFont="1" applyFill="1" applyBorder="1" applyAlignment="1" applyProtection="1">
      <alignment horizontal="center" vertical="center"/>
      <protection hidden="1"/>
    </xf>
    <xf numFmtId="0" fontId="56" fillId="0" borderId="19" xfId="0" applyFont="1" applyFill="1" applyBorder="1" applyAlignment="1" applyProtection="1">
      <alignment horizontal="center" vertical="center"/>
      <protection hidden="1"/>
    </xf>
    <xf numFmtId="0" fontId="55" fillId="0" borderId="8" xfId="0" applyFont="1" applyFill="1" applyBorder="1" applyAlignment="1" applyProtection="1">
      <alignment horizontal="center"/>
      <protection hidden="1"/>
    </xf>
    <xf numFmtId="0" fontId="55" fillId="0" borderId="4" xfId="0" applyFont="1" applyFill="1" applyBorder="1" applyAlignment="1" applyProtection="1">
      <alignment horizontal="center"/>
      <protection hidden="1"/>
    </xf>
    <xf numFmtId="0" fontId="55" fillId="0" borderId="5" xfId="0" applyFont="1" applyFill="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99CC"/>
        </patternFill>
      </fill>
      <border/>
    </dxf>
    <dxf>
      <fill>
        <patternFill>
          <bgColor rgb="FFFF0000"/>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FE8E0"/>
      <rgbColor rgb="00993366"/>
      <rgbColor rgb="00FFFFCC"/>
      <rgbColor rgb="00CCFFFF"/>
      <rgbColor rgb="00660066"/>
      <rgbColor rgb="00FF8080"/>
      <rgbColor rgb="000066CC"/>
      <rgbColor rgb="00CCCCFF"/>
      <rgbColor rgb="00000080"/>
      <rgbColor rgb="00E0E8D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75" b="1" i="1" u="sng" baseline="0">
                <a:latin typeface="Arial"/>
                <a:ea typeface="Arial"/>
                <a:cs typeface="Arial"/>
              </a:rPr>
              <a:t>Planta física</a:t>
            </a:r>
          </a:p>
        </c:rich>
      </c:tx>
      <c:layout/>
      <c:spPr>
        <a:noFill/>
        <a:ln>
          <a:noFill/>
        </a:ln>
      </c:spPr>
    </c:title>
    <c:view3D>
      <c:rotX val="36"/>
      <c:rotY val="37"/>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Informe!$B$16:$B$19</c:f>
              <c:strCache>
                <c:ptCount val="4"/>
                <c:pt idx="0">
                  <c:v>Requisitos comunes:</c:v>
                </c:pt>
                <c:pt idx="1">
                  <c:v>Zona de atención del RN en Sala de Partos:</c:v>
                </c:pt>
                <c:pt idx="2">
                  <c:v>Zona de Internación Conjunta:</c:v>
                </c:pt>
                <c:pt idx="3">
                  <c:v>Zona de Cuidados especiales Neonatales</c:v>
                </c:pt>
              </c:strCache>
            </c:strRef>
          </c:cat>
          <c:val>
            <c:numRef>
              <c:f>Informe!$C$16:$C$19</c:f>
              <c:numCache>
                <c:ptCount val="4"/>
                <c:pt idx="0">
                  <c:v>0</c:v>
                </c:pt>
                <c:pt idx="1">
                  <c:v>0</c:v>
                </c:pt>
                <c:pt idx="2">
                  <c:v>0</c:v>
                </c:pt>
                <c:pt idx="3">
                  <c:v>0</c:v>
                </c:pt>
              </c:numCache>
            </c:numRef>
          </c:val>
          <c:shape val="box"/>
        </c:ser>
        <c:shape val="box"/>
        <c:axId val="38855751"/>
        <c:axId val="14157440"/>
      </c:bar3DChart>
      <c:catAx>
        <c:axId val="38855751"/>
        <c:scaling>
          <c:orientation val="minMax"/>
        </c:scaling>
        <c:axPos val="b"/>
        <c:title>
          <c:tx>
            <c:rich>
              <a:bodyPr vert="horz" rot="0" anchor="ctr"/>
              <a:lstStyle/>
              <a:p>
                <a:pPr algn="ctr">
                  <a:defRPr/>
                </a:pPr>
                <a:r>
                  <a:rPr lang="en-US" cap="none" sz="975" b="1" i="0" u="none" baseline="0">
                    <a:latin typeface="Arial"/>
                    <a:ea typeface="Arial"/>
                    <a:cs typeface="Arial"/>
                  </a:rPr>
                  <a:t>Zonas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4157440"/>
        <c:crosses val="autoZero"/>
        <c:auto val="1"/>
        <c:lblOffset val="100"/>
        <c:noMultiLvlLbl val="0"/>
      </c:catAx>
      <c:valAx>
        <c:axId val="14157440"/>
        <c:scaling>
          <c:orientation val="minMax"/>
        </c:scaling>
        <c:axPos val="l"/>
        <c:title>
          <c:tx>
            <c:rich>
              <a:bodyPr vert="horz" rot="0" anchor="ctr"/>
              <a:lstStyle/>
              <a:p>
                <a:pPr algn="ctr">
                  <a:defRPr/>
                </a:pPr>
                <a:r>
                  <a:rPr lang="en-US" cap="none" sz="975" b="1" i="0" u="none" baseline="0">
                    <a:latin typeface="Arial"/>
                    <a:ea typeface="Arial"/>
                    <a:cs typeface="Arial"/>
                  </a:rPr>
                  <a:t>Porcentaje de ítems cumplidos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8855751"/>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75" b="1" i="1" u="sng" baseline="0">
                <a:latin typeface="Arial"/>
                <a:ea typeface="Arial"/>
                <a:cs typeface="Arial"/>
              </a:rPr>
              <a:t>Equipamiento e Instrumental</a:t>
            </a:r>
          </a:p>
        </c:rich>
      </c:tx>
      <c:layout/>
      <c:spPr>
        <a:noFill/>
        <a:ln>
          <a:noFill/>
        </a:ln>
      </c:spPr>
    </c:title>
    <c:view3D>
      <c:rotX val="12"/>
      <c:rotY val="24"/>
      <c:depthPercent val="100"/>
      <c:rAngAx val="1"/>
    </c:view3D>
    <c:plotArea>
      <c:layout>
        <c:manualLayout>
          <c:xMode val="edge"/>
          <c:yMode val="edge"/>
          <c:x val="0.06325"/>
          <c:y val="0.128"/>
          <c:w val="0.88875"/>
          <c:h val="0.809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Informe!$B$24:$B$27</c:f>
              <c:strCache>
                <c:ptCount val="4"/>
                <c:pt idx="0">
                  <c:v>Requisitos comunes:</c:v>
                </c:pt>
                <c:pt idx="1">
                  <c:v>Zona de atención del RN en Sala de Partos</c:v>
                </c:pt>
                <c:pt idx="2">
                  <c:v>Zona de Internación Conjunta:</c:v>
                </c:pt>
                <c:pt idx="3">
                  <c:v>Zona de Cuidados especiales Neonatales</c:v>
                </c:pt>
              </c:strCache>
            </c:strRef>
          </c:cat>
          <c:val>
            <c:numRef>
              <c:f>Informe!$C$24:$C$27</c:f>
              <c:numCache>
                <c:ptCount val="4"/>
                <c:pt idx="0">
                  <c:v>0</c:v>
                </c:pt>
                <c:pt idx="1">
                  <c:v>0</c:v>
                </c:pt>
                <c:pt idx="2">
                  <c:v>0</c:v>
                </c:pt>
                <c:pt idx="3">
                  <c:v>0</c:v>
                </c:pt>
              </c:numCache>
            </c:numRef>
          </c:val>
          <c:shape val="box"/>
        </c:ser>
        <c:shape val="box"/>
        <c:axId val="60308097"/>
        <c:axId val="5901962"/>
      </c:bar3DChart>
      <c:catAx>
        <c:axId val="60308097"/>
        <c:scaling>
          <c:orientation val="minMax"/>
        </c:scaling>
        <c:axPos val="b"/>
        <c:title>
          <c:tx>
            <c:rich>
              <a:bodyPr vert="horz" rot="0" anchor="ctr"/>
              <a:lstStyle/>
              <a:p>
                <a:pPr algn="ctr">
                  <a:defRPr/>
                </a:pPr>
                <a:r>
                  <a:rPr lang="en-US" cap="none" sz="1050" b="1" i="0" u="none" baseline="0">
                    <a:latin typeface="Arial"/>
                    <a:ea typeface="Arial"/>
                    <a:cs typeface="Arial"/>
                  </a:rPr>
                  <a:t>Zonas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901962"/>
        <c:crosses val="autoZero"/>
        <c:auto val="1"/>
        <c:lblOffset val="100"/>
        <c:noMultiLvlLbl val="0"/>
      </c:catAx>
      <c:valAx>
        <c:axId val="5901962"/>
        <c:scaling>
          <c:orientation val="minMax"/>
        </c:scaling>
        <c:axPos val="l"/>
        <c:title>
          <c:tx>
            <c:rich>
              <a:bodyPr vert="horz" rot="0" anchor="ctr"/>
              <a:lstStyle/>
              <a:p>
                <a:pPr algn="ctr">
                  <a:defRPr/>
                </a:pPr>
                <a:r>
                  <a:rPr lang="en-US" cap="none" sz="875" b="1" i="0" u="none" baseline="0">
                    <a:latin typeface="Arial"/>
                    <a:ea typeface="Arial"/>
                    <a:cs typeface="Arial"/>
                  </a:rPr>
                  <a:t>Porcentaje de ítems cumplidos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0308097"/>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1" u="sng" baseline="0">
                <a:latin typeface="Arial"/>
                <a:ea typeface="Arial"/>
                <a:cs typeface="Arial"/>
              </a:rPr>
              <a:t>Funcionamiento y Organización del Servicio</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Informe!$B$47:$B$49</c:f>
              <c:strCache>
                <c:ptCount val="3"/>
                <c:pt idx="0">
                  <c:v>Requisitos comunes:</c:v>
                </c:pt>
                <c:pt idx="1">
                  <c:v>Zona de atención del RN en Sala de Partos e Int. Conj.</c:v>
                </c:pt>
                <c:pt idx="2">
                  <c:v>Zona de Cuidados especiales Neonatales</c:v>
                </c:pt>
              </c:strCache>
            </c:strRef>
          </c:cat>
          <c:val>
            <c:numRef>
              <c:f>Informe!$C$47:$C$49</c:f>
              <c:numCache>
                <c:ptCount val="3"/>
                <c:pt idx="0">
                  <c:v>0</c:v>
                </c:pt>
                <c:pt idx="1">
                  <c:v>0</c:v>
                </c:pt>
                <c:pt idx="2">
                  <c:v>0</c:v>
                </c:pt>
              </c:numCache>
            </c:numRef>
          </c:val>
          <c:shape val="box"/>
        </c:ser>
        <c:shape val="box"/>
        <c:axId val="53117659"/>
        <c:axId val="8296884"/>
      </c:bar3DChart>
      <c:catAx>
        <c:axId val="53117659"/>
        <c:scaling>
          <c:orientation val="minMax"/>
        </c:scaling>
        <c:axPos val="b"/>
        <c:title>
          <c:tx>
            <c:rich>
              <a:bodyPr vert="horz" rot="0" anchor="ctr"/>
              <a:lstStyle/>
              <a:p>
                <a:pPr algn="ctr">
                  <a:defRPr/>
                </a:pPr>
                <a:r>
                  <a:rPr lang="en-US" cap="none" sz="875" b="0" i="0" u="none" baseline="0">
                    <a:latin typeface="Arial"/>
                    <a:ea typeface="Arial"/>
                    <a:cs typeface="Arial"/>
                  </a:rPr>
                  <a:t>Zonas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8296884"/>
        <c:crosses val="autoZero"/>
        <c:auto val="1"/>
        <c:lblOffset val="100"/>
        <c:noMultiLvlLbl val="0"/>
      </c:catAx>
      <c:valAx>
        <c:axId val="8296884"/>
        <c:scaling>
          <c:orientation val="minMax"/>
        </c:scaling>
        <c:axPos val="l"/>
        <c:title>
          <c:tx>
            <c:rich>
              <a:bodyPr vert="horz" rot="0" anchor="ctr"/>
              <a:lstStyle/>
              <a:p>
                <a:pPr algn="ctr">
                  <a:defRPr/>
                </a:pPr>
                <a:r>
                  <a:rPr lang="en-US" cap="none" sz="800" b="0" i="0" u="none" baseline="0">
                    <a:latin typeface="Arial"/>
                    <a:ea typeface="Arial"/>
                    <a:cs typeface="Arial"/>
                  </a:rPr>
                  <a:t>Porcentaje de ítems cumplidos</a:t>
                </a:r>
              </a:p>
            </c:rich>
          </c:tx>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3117659"/>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2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1" u="sng" baseline="0">
                <a:latin typeface="Arial"/>
                <a:ea typeface="Arial"/>
                <a:cs typeface="Arial"/>
              </a:rPr>
              <a:t>Recursos humanos</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Informe!$B$32:$B$35</c:f>
              <c:strCache>
                <c:ptCount val="4"/>
                <c:pt idx="0">
                  <c:v>Requisitos comunes:</c:v>
                </c:pt>
                <c:pt idx="1">
                  <c:v>Enfermeras:</c:v>
                </c:pt>
                <c:pt idx="2">
                  <c:v>Médicos:</c:v>
                </c:pt>
                <c:pt idx="3">
                  <c:v>Otro personal</c:v>
                </c:pt>
              </c:strCache>
            </c:strRef>
          </c:cat>
          <c:val>
            <c:numRef>
              <c:f>Informe!$C$32:$C$35</c:f>
              <c:numCache>
                <c:ptCount val="4"/>
                <c:pt idx="0">
                  <c:v>0</c:v>
                </c:pt>
                <c:pt idx="1">
                  <c:v>0</c:v>
                </c:pt>
                <c:pt idx="2">
                  <c:v>0</c:v>
                </c:pt>
                <c:pt idx="3">
                  <c:v>0</c:v>
                </c:pt>
              </c:numCache>
            </c:numRef>
          </c:val>
          <c:shape val="box"/>
        </c:ser>
        <c:shape val="box"/>
        <c:axId val="7563093"/>
        <c:axId val="958974"/>
      </c:bar3DChart>
      <c:catAx>
        <c:axId val="7563093"/>
        <c:scaling>
          <c:orientation val="minMax"/>
        </c:scaling>
        <c:axPos val="b"/>
        <c:title>
          <c:tx>
            <c:rich>
              <a:bodyPr vert="horz" rot="0" anchor="ctr"/>
              <a:lstStyle/>
              <a:p>
                <a:pPr algn="ctr">
                  <a:defRPr/>
                </a:pPr>
                <a:r>
                  <a:rPr lang="en-US" cap="none" sz="850" b="1" i="0" u="none" baseline="0">
                    <a:latin typeface="Arial"/>
                    <a:ea typeface="Arial"/>
                    <a:cs typeface="Arial"/>
                  </a:rPr>
                  <a:t>Personal</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958974"/>
        <c:crosses val="autoZero"/>
        <c:auto val="1"/>
        <c:lblOffset val="100"/>
        <c:noMultiLvlLbl val="0"/>
      </c:catAx>
      <c:valAx>
        <c:axId val="958974"/>
        <c:scaling>
          <c:orientation val="minMax"/>
        </c:scaling>
        <c:axPos val="l"/>
        <c:title>
          <c:tx>
            <c:rich>
              <a:bodyPr vert="horz" rot="0" anchor="ctr"/>
              <a:lstStyle/>
              <a:p>
                <a:pPr algn="ctr">
                  <a:defRPr/>
                </a:pPr>
                <a:r>
                  <a:rPr lang="en-US" cap="none" sz="850" b="1" i="0" u="none" baseline="0">
                    <a:latin typeface="Arial"/>
                    <a:ea typeface="Arial"/>
                    <a:cs typeface="Arial"/>
                  </a:rPr>
                  <a:t>Porcentaje de ítems cumplidos</a:t>
                </a:r>
              </a:p>
            </c:rich>
          </c:tx>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7563093"/>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Servicios complementarios </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strRef>
              <c:f>Informe!$B$40:$B$42</c:f>
              <c:strCache>
                <c:ptCount val="3"/>
                <c:pt idx="0">
                  <c:v>Laboratorio:</c:v>
                </c:pt>
                <c:pt idx="1">
                  <c:v>Diagnóstico por imágenes</c:v>
                </c:pt>
                <c:pt idx="2">
                  <c:v>Hemoterapia:</c:v>
                </c:pt>
              </c:strCache>
            </c:strRef>
          </c:cat>
          <c:val>
            <c:numRef>
              <c:f>Informe!$C$40:$C$42</c:f>
              <c:numCache>
                <c:ptCount val="3"/>
                <c:pt idx="0">
                  <c:v>0</c:v>
                </c:pt>
                <c:pt idx="1">
                  <c:v>0</c:v>
                </c:pt>
                <c:pt idx="2">
                  <c:v>0</c:v>
                </c:pt>
              </c:numCache>
            </c:numRef>
          </c:val>
          <c:shape val="box"/>
        </c:ser>
        <c:shape val="box"/>
        <c:axId val="8630767"/>
        <c:axId val="10568040"/>
      </c:bar3DChart>
      <c:catAx>
        <c:axId val="8630767"/>
        <c:scaling>
          <c:orientation val="minMax"/>
        </c:scaling>
        <c:axPos val="b"/>
        <c:title>
          <c:tx>
            <c:rich>
              <a:bodyPr vert="horz" rot="0" anchor="ctr"/>
              <a:lstStyle/>
              <a:p>
                <a:pPr algn="ctr">
                  <a:defRPr/>
                </a:pPr>
                <a:r>
                  <a:rPr lang="en-US" cap="none" sz="800" b="1" i="0" u="none" baseline="0">
                    <a:latin typeface="Arial"/>
                    <a:ea typeface="Arial"/>
                    <a:cs typeface="Arial"/>
                  </a:rPr>
                  <a:t>Servicios</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0568040"/>
        <c:crosses val="autoZero"/>
        <c:auto val="1"/>
        <c:lblOffset val="100"/>
        <c:noMultiLvlLbl val="0"/>
      </c:catAx>
      <c:valAx>
        <c:axId val="10568040"/>
        <c:scaling>
          <c:orientation val="minMax"/>
        </c:scaling>
        <c:axPos val="l"/>
        <c:title>
          <c:tx>
            <c:rich>
              <a:bodyPr vert="horz" rot="0" anchor="ctr"/>
              <a:lstStyle/>
              <a:p>
                <a:pPr algn="ctr">
                  <a:defRPr/>
                </a:pPr>
                <a:r>
                  <a:rPr lang="en-US" cap="none" sz="800" b="1" i="0" u="none" baseline="0">
                    <a:latin typeface="Arial"/>
                    <a:ea typeface="Arial"/>
                    <a:cs typeface="Arial"/>
                  </a:rPr>
                  <a:t>Porcentaje de ítems cumplidos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630767"/>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12</xdr:row>
      <xdr:rowOff>38100</xdr:rowOff>
    </xdr:from>
    <xdr:to>
      <xdr:col>2</xdr:col>
      <xdr:colOff>1247775</xdr:colOff>
      <xdr:row>34</xdr:row>
      <xdr:rowOff>133350</xdr:rowOff>
    </xdr:to>
    <xdr:sp>
      <xdr:nvSpPr>
        <xdr:cNvPr id="1" name="TextBox 6"/>
        <xdr:cNvSpPr txBox="1">
          <a:spLocks noChangeAspect="1" noChangeArrowheads="1"/>
        </xdr:cNvSpPr>
      </xdr:nvSpPr>
      <xdr:spPr>
        <a:xfrm>
          <a:off x="152400" y="2486025"/>
          <a:ext cx="5334000" cy="3657600"/>
        </a:xfrm>
        <a:prstGeom prst="rect">
          <a:avLst/>
        </a:prstGeom>
        <a:noFill/>
        <a:ln w="9525" cmpd="sng">
          <a:solidFill>
            <a:srgbClr val="000000"/>
          </a:solidFill>
          <a:headEnd type="none"/>
          <a:tailEnd type="none"/>
        </a:ln>
      </xdr:spPr>
      <xdr:txBody>
        <a:bodyPr vertOverflow="clip" wrap="square"/>
        <a:p>
          <a:pPr algn="l">
            <a:defRPr/>
          </a:pPr>
          <a:r>
            <a:rPr lang="en-US" cap="none" sz="1000" b="1" i="1" u="sng" baseline="0">
              <a:latin typeface="Verdana"/>
              <a:ea typeface="Verdana"/>
              <a:cs typeface="Verdana"/>
            </a:rPr>
            <a:t>Guía de evaluación de Servicios de Neonatología</a:t>
          </a:r>
          <a:r>
            <a:rPr lang="en-US" cap="none" sz="1000" b="0" i="0" u="none" baseline="0">
              <a:latin typeface="Verdana"/>
              <a:ea typeface="Verdana"/>
              <a:cs typeface="Verdana"/>
            </a:rPr>
            <a:t>
</a:t>
          </a:r>
          <a:r>
            <a:rPr lang="en-US" cap="none" sz="1000" b="1" i="1" u="sng" baseline="0">
              <a:latin typeface="Verdana"/>
              <a:ea typeface="Verdana"/>
              <a:cs typeface="Verdana"/>
            </a:rPr>
            <a:t>Introducción</a:t>
          </a:r>
          <a:r>
            <a:rPr lang="en-US" cap="none" sz="1000" b="0" i="0" u="none" baseline="0">
              <a:latin typeface="Verdana"/>
              <a:ea typeface="Verdana"/>
              <a:cs typeface="Verdana"/>
            </a:rPr>
            <a:t>
     Evaluar los Servicios de Neonatología de Centros Perinatológicos es una obligación indiscutible para los responsables de la Salud Pública. También es necesario para que aquellos con funciones de conducción ajusten racionalmente sus prioridades y ordenen sus esfuerzos organizativos.
     Evaluar los Servicios de Neonatología permite además su posible acreditación para el cumplimiento de los estándares y de sus objetivos asistenciales.
     Evaluar los Servicios de Neonatología admite la correlación con sus resultados Perinatales, siempre mejorables en el marco del progreso científico y de la medicina basada en la evidencia.
     Efectuada la evaluación debe existir una actitud de disposición al cambio sin apelar a mecanismos de negación. Tampoco es necesario coincidencia de opinión respecto a los ítems exigidos. De considerarlos con justificación incorrectos no invalidan la evaluación global y de las diferentes áreas. Como se explica en instrucciones para el uso de la Guía, efectuado el listado de ítems no cumplidos, los responsables del Servicio, con un enfoque multidisciplinario, pueden ordenarlo según prioridades e incluso resolverlos en forma inmediata o mediata.</a:t>
          </a:r>
          <a:r>
            <a:rPr lang="en-US" cap="none" sz="1000" b="0" i="0" u="none" baseline="0">
              <a:latin typeface="Arial"/>
              <a:ea typeface="Arial"/>
              <a:cs typeface="Arial"/>
            </a:rPr>
            <a:t>
</a:t>
          </a:r>
          <a:r>
            <a:rPr lang="en-US" cap="none" sz="1000" b="0" i="1" u="none" baseline="0">
              <a:latin typeface="Verdana"/>
              <a:ea typeface="Verdana"/>
              <a:cs typeface="Verdana"/>
            </a:rPr>
            <a:t>Miguel Larguía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6</xdr:col>
      <xdr:colOff>714375</xdr:colOff>
      <xdr:row>42</xdr:row>
      <xdr:rowOff>66675</xdr:rowOff>
    </xdr:to>
    <xdr:sp>
      <xdr:nvSpPr>
        <xdr:cNvPr id="1" name="TextBox 5"/>
        <xdr:cNvSpPr txBox="1">
          <a:spLocks noChangeAspect="1" noChangeArrowheads="1"/>
        </xdr:cNvSpPr>
      </xdr:nvSpPr>
      <xdr:spPr>
        <a:xfrm>
          <a:off x="38100" y="1514475"/>
          <a:ext cx="5257800" cy="5895975"/>
        </a:xfrm>
        <a:prstGeom prst="rect">
          <a:avLst/>
        </a:prstGeom>
        <a:noFill/>
        <a:ln w="9525" cmpd="sng">
          <a:solidFill>
            <a:srgbClr val="000000"/>
          </a:solidFill>
          <a:headEnd type="none"/>
          <a:tailEnd type="none"/>
        </a:ln>
      </xdr:spPr>
      <xdr:txBody>
        <a:bodyPr vertOverflow="clip" wrap="square"/>
        <a:p>
          <a:pPr algn="l">
            <a:defRPr/>
          </a:pPr>
          <a:r>
            <a:rPr lang="en-US" cap="none" sz="1000" b="1" i="0" u="sng" baseline="0">
              <a:latin typeface="Verdana"/>
              <a:ea typeface="Verdana"/>
              <a:cs typeface="Verdana"/>
            </a:rPr>
            <a:t>Instrucciones para el uso de la Guía</a:t>
          </a:r>
          <a:r>
            <a:rPr lang="en-US" cap="none" sz="1000" b="0" i="0" u="none" baseline="0">
              <a:latin typeface="Verdana"/>
              <a:ea typeface="Verdana"/>
              <a:cs typeface="Verdana"/>
            </a:rPr>
            <a:t>
Es ideal que esta Guía sirva para una Autoevaluación del Servicio, siempre que se mantenga la objetividad en las respuestas . También puede utilizarse para una evaluación externa, con profesionales que no pertenezcan al Servicio,  del ámbito oficial, privado o de la Seguridad Social, si se desea hacer un relevamiento de una Zona Sanitaria, una Provincia, un sistema de Medicina prepaga, una Obra Social, etc. para evaluar  las necesidades de el/los Servicio/s de Neonatología.
El o los evaluadores deberán contestar cada punto por Si o por NO. Si se deja en blanco el casillero se toma como respuesta "No".  Al final de cada subcapítulo puede calcularse el Subtotal de puntos obtenidos y su %.
Este cálculo puede repetirse al final de cada Capítulo y al terminar la Guía para conocer el % final de puntos cumplidos (automático en esta versión informatizada).  Se puede comparar  el grado de cumplimiento de cada Capítulo con el total para verificar en qué áreas se encuentran los mayores logros o dificultades. El análisis puede afinarse a cada una de las zonas del Servicio.
Posteriormente, puede hacerse un Listado de Recursos no cumplidos, los que podrán ordenarse , de acuerdo a una evaluación propia de cada Servicio , en aquellos de posible e inmediata resolución, de posible pero mediata solución , aquellos muy díficiles de resolver e incluso aquellos que no se consideran  trascendentes de resolver.
De esta manera, podrá confeccionarse una Planilla  como final de la Evaluación de  cada Capítulo y una serie de gráficos ilustrativos.
Es probable  que el Funcionamiento y la Organización del Servicio pueda mejorarse en el corto plazo ( en general no requiere recursos financieros, sólo tiempo y coordinación), el equipamiento tal vez pueda adquirise en un mediano plazo y el Recurso Humano Enfermería es posible que sea más difícil de resolver. Aunque, como se dijo anteriormente, este tipo de análisis, será de resorte exclusivo de cada caso en particular.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431</xdr:row>
      <xdr:rowOff>142875</xdr:rowOff>
    </xdr:from>
    <xdr:to>
      <xdr:col>1</xdr:col>
      <xdr:colOff>0</xdr:colOff>
      <xdr:row>432</xdr:row>
      <xdr:rowOff>9525</xdr:rowOff>
    </xdr:to>
    <xdr:sp>
      <xdr:nvSpPr>
        <xdr:cNvPr id="1" name="Rectangle 1"/>
        <xdr:cNvSpPr>
          <a:spLocks/>
        </xdr:cNvSpPr>
      </xdr:nvSpPr>
      <xdr:spPr>
        <a:xfrm>
          <a:off x="581025" y="130549650"/>
          <a:ext cx="4067175" cy="285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24</xdr:row>
      <xdr:rowOff>152400</xdr:rowOff>
    </xdr:from>
    <xdr:to>
      <xdr:col>1</xdr:col>
      <xdr:colOff>3400425</xdr:colOff>
      <xdr:row>24</xdr:row>
      <xdr:rowOff>209550</xdr:rowOff>
    </xdr:to>
    <xdr:sp>
      <xdr:nvSpPr>
        <xdr:cNvPr id="1" name="Rectangle 2"/>
        <xdr:cNvSpPr>
          <a:spLocks/>
        </xdr:cNvSpPr>
      </xdr:nvSpPr>
      <xdr:spPr>
        <a:xfrm>
          <a:off x="581025" y="9315450"/>
          <a:ext cx="56673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44</xdr:row>
      <xdr:rowOff>152400</xdr:rowOff>
    </xdr:from>
    <xdr:to>
      <xdr:col>1</xdr:col>
      <xdr:colOff>3228975</xdr:colOff>
      <xdr:row>45</xdr:row>
      <xdr:rowOff>38100</xdr:rowOff>
    </xdr:to>
    <xdr:sp>
      <xdr:nvSpPr>
        <xdr:cNvPr id="2" name="Rectangle 3"/>
        <xdr:cNvSpPr>
          <a:spLocks/>
        </xdr:cNvSpPr>
      </xdr:nvSpPr>
      <xdr:spPr>
        <a:xfrm>
          <a:off x="647700" y="18821400"/>
          <a:ext cx="5429250" cy="4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12</xdr:row>
      <xdr:rowOff>66675</xdr:rowOff>
    </xdr:from>
    <xdr:to>
      <xdr:col>5</xdr:col>
      <xdr:colOff>390525</xdr:colOff>
      <xdr:row>30</xdr:row>
      <xdr:rowOff>104775</xdr:rowOff>
    </xdr:to>
    <xdr:graphicFrame>
      <xdr:nvGraphicFramePr>
        <xdr:cNvPr id="1" name="Chart 2"/>
        <xdr:cNvGraphicFramePr/>
      </xdr:nvGraphicFramePr>
      <xdr:xfrm>
        <a:off x="66675" y="2743200"/>
        <a:ext cx="5343525" cy="2952750"/>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85725</xdr:colOff>
      <xdr:row>32</xdr:row>
      <xdr:rowOff>104775</xdr:rowOff>
    </xdr:from>
    <xdr:to>
      <xdr:col>5</xdr:col>
      <xdr:colOff>428625</xdr:colOff>
      <xdr:row>57</xdr:row>
      <xdr:rowOff>28575</xdr:rowOff>
    </xdr:to>
    <xdr:graphicFrame>
      <xdr:nvGraphicFramePr>
        <xdr:cNvPr id="2" name="Chart 3"/>
        <xdr:cNvGraphicFramePr/>
      </xdr:nvGraphicFramePr>
      <xdr:xfrm>
        <a:off x="85725" y="6019800"/>
        <a:ext cx="53625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57150</xdr:colOff>
      <xdr:row>61</xdr:row>
      <xdr:rowOff>123825</xdr:rowOff>
    </xdr:from>
    <xdr:to>
      <xdr:col>5</xdr:col>
      <xdr:colOff>371475</xdr:colOff>
      <xdr:row>78</xdr:row>
      <xdr:rowOff>38100</xdr:rowOff>
    </xdr:to>
    <xdr:graphicFrame>
      <xdr:nvGraphicFramePr>
        <xdr:cNvPr id="3" name="Chart 4"/>
        <xdr:cNvGraphicFramePr/>
      </xdr:nvGraphicFramePr>
      <xdr:xfrm>
        <a:off x="57150" y="10429875"/>
        <a:ext cx="5334000" cy="2667000"/>
      </xdr:xfrm>
      <a:graphic>
        <a:graphicData uri="http://schemas.openxmlformats.org/drawingml/2006/chart">
          <c:chart xmlns:c="http://schemas.openxmlformats.org/drawingml/2006/chart" r:id="rId3"/>
        </a:graphicData>
      </a:graphic>
    </xdr:graphicFrame>
    <xdr:clientData/>
  </xdr:twoCellAnchor>
  <xdr:twoCellAnchor editAs="absolute">
    <xdr:from>
      <xdr:col>0</xdr:col>
      <xdr:colOff>76200</xdr:colOff>
      <xdr:row>81</xdr:row>
      <xdr:rowOff>123825</xdr:rowOff>
    </xdr:from>
    <xdr:to>
      <xdr:col>5</xdr:col>
      <xdr:colOff>361950</xdr:colOff>
      <xdr:row>99</xdr:row>
      <xdr:rowOff>9525</xdr:rowOff>
    </xdr:to>
    <xdr:graphicFrame>
      <xdr:nvGraphicFramePr>
        <xdr:cNvPr id="4" name="Chart 5"/>
        <xdr:cNvGraphicFramePr/>
      </xdr:nvGraphicFramePr>
      <xdr:xfrm>
        <a:off x="76200" y="13668375"/>
        <a:ext cx="5305425" cy="28003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85725</xdr:colOff>
      <xdr:row>102</xdr:row>
      <xdr:rowOff>142875</xdr:rowOff>
    </xdr:from>
    <xdr:to>
      <xdr:col>5</xdr:col>
      <xdr:colOff>333375</xdr:colOff>
      <xdr:row>117</xdr:row>
      <xdr:rowOff>9525</xdr:rowOff>
    </xdr:to>
    <xdr:graphicFrame>
      <xdr:nvGraphicFramePr>
        <xdr:cNvPr id="5" name="Chart 6"/>
        <xdr:cNvGraphicFramePr/>
      </xdr:nvGraphicFramePr>
      <xdr:xfrm>
        <a:off x="85725" y="17087850"/>
        <a:ext cx="5267325" cy="2295525"/>
      </xdr:xfrm>
      <a:graphic>
        <a:graphicData uri="http://schemas.openxmlformats.org/drawingml/2006/chart">
          <c:chart xmlns:c="http://schemas.openxmlformats.org/drawingml/2006/chart" r:id="rId5"/>
        </a:graphicData>
      </a:graphic>
    </xdr:graphicFrame>
    <xdr:clientData/>
  </xdr:twoCellAnchor>
  <xdr:twoCellAnchor>
    <xdr:from>
      <xdr:col>0</xdr:col>
      <xdr:colOff>514350</xdr:colOff>
      <xdr:row>6</xdr:row>
      <xdr:rowOff>57150</xdr:rowOff>
    </xdr:from>
    <xdr:to>
      <xdr:col>5</xdr:col>
      <xdr:colOff>123825</xdr:colOff>
      <xdr:row>9</xdr:row>
      <xdr:rowOff>133350</xdr:rowOff>
    </xdr:to>
    <xdr:sp>
      <xdr:nvSpPr>
        <xdr:cNvPr id="6" name="Rectangle 8"/>
        <xdr:cNvSpPr>
          <a:spLocks/>
        </xdr:cNvSpPr>
      </xdr:nvSpPr>
      <xdr:spPr>
        <a:xfrm>
          <a:off x="514350" y="1695450"/>
          <a:ext cx="4629150" cy="5619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lomuto\Configuraci&#65533;n%20local\Archivos%20temporales%20de%20Internet\OLK5B\Men&#65533;%20Gu&#65533;as.xl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5"/>
  <sheetViews>
    <sheetView showGridLines="0" showRowColHeaders="0" workbookViewId="0" topLeftCell="A29">
      <selection activeCell="A2" sqref="A2:C2"/>
    </sheetView>
  </sheetViews>
  <sheetFormatPr defaultColWidth="11.421875" defaultRowHeight="12.75"/>
  <cols>
    <col min="1" max="1" width="22.28125" style="162" customWidth="1"/>
    <col min="2" max="2" width="41.28125" style="162" customWidth="1"/>
    <col min="3" max="3" width="18.8515625" style="19" customWidth="1"/>
    <col min="4" max="16384" width="11.57421875" style="19" customWidth="1"/>
  </cols>
  <sheetData>
    <row r="1" spans="1:3" ht="61.5" customHeight="1">
      <c r="A1" s="169" t="s">
        <v>120</v>
      </c>
      <c r="B1" s="170"/>
      <c r="C1" s="171"/>
    </row>
    <row r="2" spans="1:3" ht="22.5" customHeight="1">
      <c r="A2" s="172" t="s">
        <v>189</v>
      </c>
      <c r="B2" s="172"/>
      <c r="C2" s="172"/>
    </row>
    <row r="3" spans="1:3" ht="18" customHeight="1">
      <c r="A3" s="173"/>
      <c r="B3" s="174"/>
      <c r="C3" s="174"/>
    </row>
    <row r="4" ht="12.75" customHeight="1"/>
    <row r="5" ht="23.25" customHeight="1">
      <c r="B5" s="163" t="s">
        <v>389</v>
      </c>
    </row>
    <row r="6" ht="6" customHeight="1"/>
    <row r="7" ht="34.5" customHeight="1"/>
    <row r="8" ht="7.5" customHeight="1"/>
    <row r="9" ht="12.75" hidden="1"/>
    <row r="10" ht="3" customHeight="1"/>
    <row r="11" ht="3" customHeight="1"/>
    <row r="12" ht="0.75" customHeight="1"/>
  </sheetData>
  <sheetProtection password="DF15" sheet="1" objects="1" scenarios="1"/>
  <mergeCells count="3">
    <mergeCell ref="A1:C1"/>
    <mergeCell ref="A2:C2"/>
    <mergeCell ref="A3:C3"/>
  </mergeCells>
  <hyperlinks>
    <hyperlink ref="B5" r:id="rId1" display="Regresar al Menú Principal"/>
  </hyperlinks>
  <printOptions horizontalCentered="1" verticalCentered="1"/>
  <pageMargins left="0.75" right="0.75" top="1" bottom="1" header="0" footer="0"/>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Hoja2"/>
  <dimension ref="A1:G5"/>
  <sheetViews>
    <sheetView showGridLines="0" showRowColHeaders="0" workbookViewId="0" topLeftCell="A22">
      <selection activeCell="A1" sqref="A1:G1"/>
    </sheetView>
  </sheetViews>
  <sheetFormatPr defaultColWidth="11.421875" defaultRowHeight="12.75"/>
  <cols>
    <col min="1" max="1" width="11.57421875" style="166" customWidth="1"/>
    <col min="2" max="16384" width="11.421875" style="164" customWidth="1"/>
  </cols>
  <sheetData>
    <row r="1" spans="1:7" ht="70.5" customHeight="1">
      <c r="A1" s="175" t="s">
        <v>120</v>
      </c>
      <c r="B1" s="176"/>
      <c r="C1" s="176"/>
      <c r="D1" s="176"/>
      <c r="E1" s="176"/>
      <c r="F1" s="176"/>
      <c r="G1" s="177"/>
    </row>
    <row r="2" ht="3" customHeight="1">
      <c r="A2" s="165"/>
    </row>
    <row r="3" ht="7.5" customHeight="1">
      <c r="A3" s="165"/>
    </row>
    <row r="4" spans="1:7" ht="12.75">
      <c r="A4" s="178" t="s">
        <v>405</v>
      </c>
      <c r="B4" s="179"/>
      <c r="C4" s="179"/>
      <c r="D4" s="179"/>
      <c r="E4" s="179"/>
      <c r="F4" s="179"/>
      <c r="G4" s="180"/>
    </row>
    <row r="5" spans="1:7" ht="12.75">
      <c r="A5" s="181" t="s">
        <v>98</v>
      </c>
      <c r="B5" s="182"/>
      <c r="C5" s="182"/>
      <c r="D5" s="182"/>
      <c r="E5" s="182"/>
      <c r="F5" s="182"/>
      <c r="G5" s="183"/>
    </row>
  </sheetData>
  <sheetProtection password="DF15" sheet="1" objects="1" scenarios="1"/>
  <mergeCells count="3">
    <mergeCell ref="A1:G1"/>
    <mergeCell ref="A4:G4"/>
    <mergeCell ref="A5:G5"/>
  </mergeCells>
  <printOptions horizontalCentered="1" verticalCentered="1"/>
  <pageMargins left="0.75" right="0.75" top="1" bottom="1" header="0" footer="0"/>
  <pageSetup horizontalDpi="300" verticalDpi="3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Hoja3"/>
  <dimension ref="A1:D432"/>
  <sheetViews>
    <sheetView showGridLines="0" showRowColHeaders="0" tabSelected="1" workbookViewId="0" topLeftCell="A1">
      <selection activeCell="B11" sqref="B11"/>
    </sheetView>
  </sheetViews>
  <sheetFormatPr defaultColWidth="11.421875" defaultRowHeight="12.75"/>
  <cols>
    <col min="1" max="1" width="69.7109375" style="45" customWidth="1"/>
    <col min="2" max="2" width="8.140625" style="110" customWidth="1"/>
    <col min="3" max="3" width="3.8515625" style="111" customWidth="1"/>
    <col min="4" max="4" width="1.57421875" style="26" customWidth="1"/>
    <col min="5" max="16384" width="11.421875" style="26" customWidth="1"/>
  </cols>
  <sheetData>
    <row r="1" spans="1:3" ht="54.75" customHeight="1">
      <c r="A1" s="184" t="s">
        <v>120</v>
      </c>
      <c r="B1" s="185"/>
      <c r="C1" s="186"/>
    </row>
    <row r="2" spans="1:2" ht="18.75" customHeight="1">
      <c r="A2" s="30" t="s">
        <v>209</v>
      </c>
      <c r="B2" s="110" t="s">
        <v>68</v>
      </c>
    </row>
    <row r="3" ht="15.75" customHeight="1">
      <c r="A3" s="23" t="s">
        <v>98</v>
      </c>
    </row>
    <row r="4" ht="14.25"/>
    <row r="5" spans="1:2" ht="12.75">
      <c r="A5" s="112" t="s">
        <v>63</v>
      </c>
      <c r="B5" s="111"/>
    </row>
    <row r="6" spans="1:2" ht="25.5">
      <c r="A6" s="113" t="s">
        <v>101</v>
      </c>
      <c r="B6" s="111"/>
    </row>
    <row r="7" spans="1:2" ht="12.75">
      <c r="A7" s="113" t="s">
        <v>102</v>
      </c>
      <c r="B7" s="111"/>
    </row>
    <row r="8" spans="1:2" ht="12.75">
      <c r="A8" s="113" t="s">
        <v>103</v>
      </c>
      <c r="B8" s="111"/>
    </row>
    <row r="9" spans="1:2" ht="12.75">
      <c r="A9" s="114" t="s">
        <v>104</v>
      </c>
      <c r="B9" s="111"/>
    </row>
    <row r="10" ht="12.75">
      <c r="B10" s="111"/>
    </row>
    <row r="11" spans="1:3" ht="12.75">
      <c r="A11" s="115" t="s">
        <v>105</v>
      </c>
      <c r="B11" s="116"/>
      <c r="C11" s="117"/>
    </row>
    <row r="12" spans="1:3" ht="32.25" customHeight="1">
      <c r="A12" s="50" t="s">
        <v>82</v>
      </c>
      <c r="B12" s="118"/>
      <c r="C12" s="119">
        <f>IF(B12="S",1,0)</f>
        <v>0</v>
      </c>
    </row>
    <row r="13" spans="1:4" ht="36.75" customHeight="1">
      <c r="A13" s="50" t="s">
        <v>106</v>
      </c>
      <c r="B13" s="118"/>
      <c r="C13" s="119">
        <f aca="true" t="shared" si="0" ref="C13:C23">IF(B13="S",1,0)</f>
        <v>0</v>
      </c>
      <c r="D13" s="26">
        <f>C13-C12</f>
        <v>0</v>
      </c>
    </row>
    <row r="14" spans="1:3" ht="25.5">
      <c r="A14" s="50" t="s">
        <v>107</v>
      </c>
      <c r="B14" s="118"/>
      <c r="C14" s="119">
        <f t="shared" si="0"/>
        <v>0</v>
      </c>
    </row>
    <row r="15" spans="1:3" ht="12.75">
      <c r="A15" s="50" t="s">
        <v>137</v>
      </c>
      <c r="B15" s="118"/>
      <c r="C15" s="119">
        <f t="shared" si="0"/>
        <v>0</v>
      </c>
    </row>
    <row r="16" spans="1:3" ht="12.75">
      <c r="A16" s="50" t="s">
        <v>108</v>
      </c>
      <c r="B16" s="118"/>
      <c r="C16" s="119">
        <f t="shared" si="0"/>
        <v>0</v>
      </c>
    </row>
    <row r="17" spans="1:3" ht="12.75">
      <c r="A17" s="50" t="s">
        <v>109</v>
      </c>
      <c r="B17" s="118"/>
      <c r="C17" s="119">
        <f t="shared" si="0"/>
        <v>0</v>
      </c>
    </row>
    <row r="18" spans="1:3" ht="29.25" customHeight="1">
      <c r="A18" s="50" t="s">
        <v>110</v>
      </c>
      <c r="B18" s="118"/>
      <c r="C18" s="119">
        <f t="shared" si="0"/>
        <v>0</v>
      </c>
    </row>
    <row r="19" spans="1:3" ht="12.75">
      <c r="A19" s="50" t="s">
        <v>111</v>
      </c>
      <c r="B19" s="118"/>
      <c r="C19" s="119">
        <f t="shared" si="0"/>
        <v>0</v>
      </c>
    </row>
    <row r="20" spans="1:3" ht="26.25" customHeight="1">
      <c r="A20" s="50" t="s">
        <v>112</v>
      </c>
      <c r="B20" s="118"/>
      <c r="C20" s="119">
        <f t="shared" si="0"/>
        <v>0</v>
      </c>
    </row>
    <row r="21" spans="1:3" ht="12.75">
      <c r="A21" s="50" t="s">
        <v>113</v>
      </c>
      <c r="B21" s="118"/>
      <c r="C21" s="119">
        <f t="shared" si="0"/>
        <v>0</v>
      </c>
    </row>
    <row r="22" spans="1:3" ht="27" customHeight="1">
      <c r="A22" s="50" t="s">
        <v>114</v>
      </c>
      <c r="B22" s="118"/>
      <c r="C22" s="119">
        <f t="shared" si="0"/>
        <v>0</v>
      </c>
    </row>
    <row r="23" spans="1:3" ht="38.25" customHeight="1">
      <c r="A23" s="50" t="s">
        <v>140</v>
      </c>
      <c r="B23" s="118"/>
      <c r="C23" s="119">
        <f t="shared" si="0"/>
        <v>0</v>
      </c>
    </row>
    <row r="24" spans="1:3" ht="12.75">
      <c r="A24" s="120" t="s">
        <v>90</v>
      </c>
      <c r="B24" s="117"/>
      <c r="C24" s="119">
        <f>IF(C20+C21+C23&lt;3,0,(SUM(C12:C23)))</f>
        <v>0</v>
      </c>
    </row>
    <row r="25" spans="1:2" ht="33" customHeight="1">
      <c r="A25" s="121" t="str">
        <f>IF(C20+C21+C23&lt;3,"Recursos Limitantes: De no cumplir 9, 10 y 12 se anulan las demás",".")</f>
        <v>Recursos Limitantes: De no cumplir 9, 10 y 12 se anulan las demás</v>
      </c>
      <c r="B25" s="119"/>
    </row>
    <row r="26" ht="12.75">
      <c r="B26" s="111"/>
    </row>
    <row r="27" spans="1:3" ht="12.75">
      <c r="A27" s="122" t="s">
        <v>115</v>
      </c>
      <c r="B27" s="123"/>
      <c r="C27" s="124"/>
    </row>
    <row r="28" spans="1:3" ht="39" customHeight="1">
      <c r="A28" s="50" t="s">
        <v>116</v>
      </c>
      <c r="B28" s="24"/>
      <c r="C28" s="119">
        <f aca="true" t="shared" si="1" ref="C28:C36">IF(B28="S",1,0)</f>
        <v>0</v>
      </c>
    </row>
    <row r="29" spans="1:3" ht="23.25" customHeight="1">
      <c r="A29" s="50" t="s">
        <v>117</v>
      </c>
      <c r="B29" s="24"/>
      <c r="C29" s="119">
        <f t="shared" si="1"/>
        <v>0</v>
      </c>
    </row>
    <row r="30" spans="1:3" ht="42" customHeight="1">
      <c r="A30" s="50" t="s">
        <v>118</v>
      </c>
      <c r="B30" s="24"/>
      <c r="C30" s="119">
        <f t="shared" si="1"/>
        <v>0</v>
      </c>
    </row>
    <row r="31" spans="1:3" ht="35.25" customHeight="1">
      <c r="A31" s="50" t="s">
        <v>119</v>
      </c>
      <c r="B31" s="24"/>
      <c r="C31" s="119">
        <f t="shared" si="1"/>
        <v>0</v>
      </c>
    </row>
    <row r="32" spans="1:3" ht="42.75" customHeight="1">
      <c r="A32" s="44" t="s">
        <v>124</v>
      </c>
      <c r="B32" s="24"/>
      <c r="C32" s="119">
        <f t="shared" si="1"/>
        <v>0</v>
      </c>
    </row>
    <row r="33" spans="1:3" ht="28.5" customHeight="1">
      <c r="A33" s="50" t="s">
        <v>125</v>
      </c>
      <c r="B33" s="24"/>
      <c r="C33" s="119">
        <f t="shared" si="1"/>
        <v>0</v>
      </c>
    </row>
    <row r="34" spans="1:3" ht="25.5" customHeight="1">
      <c r="A34" s="50" t="s">
        <v>126</v>
      </c>
      <c r="B34" s="24"/>
      <c r="C34" s="119">
        <f t="shared" si="1"/>
        <v>0</v>
      </c>
    </row>
    <row r="35" spans="1:3" ht="12.75">
      <c r="A35" s="50" t="s">
        <v>127</v>
      </c>
      <c r="B35" s="24"/>
      <c r="C35" s="119">
        <f t="shared" si="1"/>
        <v>0</v>
      </c>
    </row>
    <row r="36" spans="1:3" ht="24.75" customHeight="1">
      <c r="A36" s="50" t="s">
        <v>128</v>
      </c>
      <c r="B36" s="24"/>
      <c r="C36" s="119">
        <f t="shared" si="1"/>
        <v>0</v>
      </c>
    </row>
    <row r="37" spans="1:3" ht="12.75">
      <c r="A37" s="125" t="s">
        <v>94</v>
      </c>
      <c r="B37" s="126"/>
      <c r="C37" s="119">
        <f>IF(C28+C32+C33+C34&lt;4,0,SUM(C28:C36))</f>
        <v>0</v>
      </c>
    </row>
    <row r="38" spans="1:2" ht="31.5" customHeight="1">
      <c r="A38" s="127" t="str">
        <f>IF(C34+C33+C32+C28&lt;4,"Recursos limitantes: De no existir los puntos 13, 17,18 y 19 se anula el Subcapítulo",".")</f>
        <v>Recursos limitantes: De no existir los puntos 13, 17,18 y 19 se anula el Subcapítulo</v>
      </c>
      <c r="B38" s="119"/>
    </row>
    <row r="39" spans="1:2" ht="12.75">
      <c r="A39" s="128" t="s">
        <v>210</v>
      </c>
      <c r="B39" s="111"/>
    </row>
    <row r="40" ht="12.75">
      <c r="B40" s="111"/>
    </row>
    <row r="41" spans="1:3" ht="12.75">
      <c r="A41" s="122" t="s">
        <v>129</v>
      </c>
      <c r="B41" s="123"/>
      <c r="C41" s="124"/>
    </row>
    <row r="42" spans="1:3" ht="35.25" customHeight="1">
      <c r="A42" s="50" t="s">
        <v>130</v>
      </c>
      <c r="B42" s="24"/>
      <c r="C42" s="119">
        <f aca="true" t="shared" si="2" ref="C42:C47">IF(B42="S",1,0)</f>
        <v>0</v>
      </c>
    </row>
    <row r="43" spans="1:3" ht="33.75" customHeight="1">
      <c r="A43" s="50" t="s">
        <v>131</v>
      </c>
      <c r="B43" s="24"/>
      <c r="C43" s="119">
        <f t="shared" si="2"/>
        <v>0</v>
      </c>
    </row>
    <row r="44" spans="1:3" ht="12.75">
      <c r="A44" s="50" t="s">
        <v>132</v>
      </c>
      <c r="B44" s="24"/>
      <c r="C44" s="119">
        <f t="shared" si="2"/>
        <v>0</v>
      </c>
    </row>
    <row r="45" spans="1:3" ht="12.75">
      <c r="A45" s="50" t="s">
        <v>133</v>
      </c>
      <c r="B45" s="24"/>
      <c r="C45" s="119">
        <f t="shared" si="2"/>
        <v>0</v>
      </c>
    </row>
    <row r="46" spans="1:3" ht="29.25" customHeight="1">
      <c r="A46" s="50" t="s">
        <v>134</v>
      </c>
      <c r="B46" s="24"/>
      <c r="C46" s="119">
        <f t="shared" si="2"/>
        <v>0</v>
      </c>
    </row>
    <row r="47" spans="1:3" ht="12.75">
      <c r="A47" s="50" t="s">
        <v>135</v>
      </c>
      <c r="B47" s="24"/>
      <c r="C47" s="119">
        <f t="shared" si="2"/>
        <v>0</v>
      </c>
    </row>
    <row r="48" spans="1:3" ht="12.75">
      <c r="A48" s="125" t="s">
        <v>94</v>
      </c>
      <c r="B48" s="117"/>
      <c r="C48" s="119">
        <f>IF(C42+C43&lt;2,0,SUM(C42:C47))</f>
        <v>0</v>
      </c>
    </row>
    <row r="49" spans="1:2" ht="33.75" customHeight="1">
      <c r="A49" s="127" t="str">
        <f>IF(C42+C43&lt;2,"Recursos limitantes: De no cumplirse los puntos 22 y 23 se anula el Subcapítulo",".")</f>
        <v>Recursos limitantes: De no cumplirse los puntos 22 y 23 se anula el Subcapítulo</v>
      </c>
      <c r="B49" s="119"/>
    </row>
    <row r="50" ht="6.75" customHeight="1">
      <c r="B50" s="111"/>
    </row>
    <row r="51" ht="6" customHeight="1">
      <c r="B51" s="111"/>
    </row>
    <row r="52" ht="6.75" customHeight="1">
      <c r="B52" s="111"/>
    </row>
    <row r="53" spans="1:2" ht="25.5">
      <c r="A53" s="45" t="s">
        <v>136</v>
      </c>
      <c r="B53" s="111"/>
    </row>
    <row r="54" spans="1:2" ht="30" customHeight="1">
      <c r="A54" s="45" t="s">
        <v>138</v>
      </c>
      <c r="B54" s="111"/>
    </row>
    <row r="55" spans="1:2" ht="12.75">
      <c r="A55" s="129" t="s">
        <v>139</v>
      </c>
      <c r="B55" s="111"/>
    </row>
    <row r="56" spans="1:2" ht="41.25" customHeight="1">
      <c r="A56" s="130" t="s">
        <v>83</v>
      </c>
      <c r="B56" s="111"/>
    </row>
    <row r="57" spans="1:2" ht="51" customHeight="1">
      <c r="A57" s="131" t="s">
        <v>84</v>
      </c>
      <c r="B57" s="111"/>
    </row>
    <row r="58" spans="1:2" ht="12.75">
      <c r="A58" s="129" t="s">
        <v>141</v>
      </c>
      <c r="B58" s="111"/>
    </row>
    <row r="59" spans="1:2" ht="54.75" customHeight="1">
      <c r="A59" s="130" t="s">
        <v>51</v>
      </c>
      <c r="B59" s="111"/>
    </row>
    <row r="60" spans="1:2" ht="54.75" customHeight="1">
      <c r="A60" s="131" t="s">
        <v>85</v>
      </c>
      <c r="B60" s="111"/>
    </row>
    <row r="61" spans="1:2" ht="12.75">
      <c r="A61" s="129" t="s">
        <v>142</v>
      </c>
      <c r="B61" s="111"/>
    </row>
    <row r="62" spans="1:2" ht="48" customHeight="1">
      <c r="A62" s="130" t="s">
        <v>86</v>
      </c>
      <c r="B62" s="111"/>
    </row>
    <row r="63" spans="1:2" ht="42.75" customHeight="1">
      <c r="A63" s="131" t="s">
        <v>87</v>
      </c>
      <c r="B63" s="111"/>
    </row>
    <row r="64" spans="1:2" ht="12.75">
      <c r="A64" s="129" t="s">
        <v>143</v>
      </c>
      <c r="B64" s="111"/>
    </row>
    <row r="65" spans="1:2" ht="33" customHeight="1">
      <c r="A65" s="130" t="s">
        <v>88</v>
      </c>
      <c r="B65" s="111"/>
    </row>
    <row r="66" spans="1:2" ht="30.75" customHeight="1">
      <c r="A66" s="131" t="s">
        <v>89</v>
      </c>
      <c r="B66" s="111"/>
    </row>
    <row r="67" ht="7.5" customHeight="1">
      <c r="B67" s="111"/>
    </row>
    <row r="68" spans="1:3" ht="44.25" customHeight="1">
      <c r="A68" s="50" t="s">
        <v>144</v>
      </c>
      <c r="B68" s="24"/>
      <c r="C68" s="119">
        <f aca="true" t="shared" si="3" ref="C68:C74">IF(B68="S",1,0)</f>
        <v>0</v>
      </c>
    </row>
    <row r="69" spans="1:3" ht="40.5" customHeight="1">
      <c r="A69" s="50" t="s">
        <v>145</v>
      </c>
      <c r="B69" s="24"/>
      <c r="C69" s="119">
        <f t="shared" si="3"/>
        <v>0</v>
      </c>
    </row>
    <row r="70" spans="1:3" ht="24" customHeight="1">
      <c r="A70" s="50" t="s">
        <v>146</v>
      </c>
      <c r="B70" s="24"/>
      <c r="C70" s="119">
        <f t="shared" si="3"/>
        <v>0</v>
      </c>
    </row>
    <row r="71" spans="1:3" ht="27" customHeight="1">
      <c r="A71" s="50" t="s">
        <v>147</v>
      </c>
      <c r="B71" s="24"/>
      <c r="C71" s="119">
        <f t="shared" si="3"/>
        <v>0</v>
      </c>
    </row>
    <row r="72" spans="1:3" ht="30" customHeight="1">
      <c r="A72" s="50" t="s">
        <v>148</v>
      </c>
      <c r="B72" s="24"/>
      <c r="C72" s="119">
        <f t="shared" si="3"/>
        <v>0</v>
      </c>
    </row>
    <row r="73" spans="1:3" ht="27" customHeight="1">
      <c r="A73" s="50" t="s">
        <v>149</v>
      </c>
      <c r="B73" s="24"/>
      <c r="C73" s="119">
        <f t="shared" si="3"/>
        <v>0</v>
      </c>
    </row>
    <row r="74" spans="1:3" ht="28.5" customHeight="1">
      <c r="A74" s="50" t="s">
        <v>52</v>
      </c>
      <c r="B74" s="24"/>
      <c r="C74" s="119">
        <f t="shared" si="3"/>
        <v>0</v>
      </c>
    </row>
    <row r="75" spans="1:3" ht="12.75">
      <c r="A75" s="125" t="s">
        <v>94</v>
      </c>
      <c r="B75" s="126"/>
      <c r="C75" s="119">
        <f>IF(C68+C69&lt;2,0,SUM(C68:C74))</f>
        <v>0</v>
      </c>
    </row>
    <row r="76" spans="1:2" ht="36" customHeight="1">
      <c r="A76" s="127" t="str">
        <f>IF(C68+C69&lt;2,"Recursos limitantes: De no cumplir los puntos 28 y 29 se anulan los demás.",".")</f>
        <v>Recursos limitantes: De no cumplir los puntos 28 y 29 se anulan los demás.</v>
      </c>
      <c r="B76" s="119"/>
    </row>
    <row r="77" ht="12.75">
      <c r="B77" s="111"/>
    </row>
    <row r="78" spans="1:3" ht="12.75">
      <c r="A78" s="122" t="s">
        <v>150</v>
      </c>
      <c r="B78" s="123"/>
      <c r="C78" s="124"/>
    </row>
    <row r="79" spans="1:3" ht="12.75">
      <c r="A79" s="50" t="s">
        <v>151</v>
      </c>
      <c r="B79" s="24"/>
      <c r="C79" s="119">
        <f aca="true" t="shared" si="4" ref="C79:C91">IF(B79="S",1,0)</f>
        <v>0</v>
      </c>
    </row>
    <row r="80" spans="1:3" ht="12.75">
      <c r="A80" s="50" t="s">
        <v>152</v>
      </c>
      <c r="B80" s="24"/>
      <c r="C80" s="119">
        <f t="shared" si="4"/>
        <v>0</v>
      </c>
    </row>
    <row r="81" spans="1:3" ht="12.75">
      <c r="A81" s="50" t="s">
        <v>153</v>
      </c>
      <c r="B81" s="24"/>
      <c r="C81" s="119">
        <f t="shared" si="4"/>
        <v>0</v>
      </c>
    </row>
    <row r="82" spans="1:3" ht="12.75">
      <c r="A82" s="50" t="s">
        <v>154</v>
      </c>
      <c r="B82" s="24"/>
      <c r="C82" s="119">
        <f t="shared" si="4"/>
        <v>0</v>
      </c>
    </row>
    <row r="83" spans="1:3" ht="27" customHeight="1">
      <c r="A83" s="50" t="s">
        <v>155</v>
      </c>
      <c r="B83" s="24"/>
      <c r="C83" s="119">
        <f t="shared" si="4"/>
        <v>0</v>
      </c>
    </row>
    <row r="84" spans="1:3" ht="26.25" customHeight="1">
      <c r="A84" s="50" t="s">
        <v>156</v>
      </c>
      <c r="B84" s="24"/>
      <c r="C84" s="119">
        <f t="shared" si="4"/>
        <v>0</v>
      </c>
    </row>
    <row r="85" spans="1:3" ht="12.75">
      <c r="A85" s="50" t="s">
        <v>53</v>
      </c>
      <c r="B85" s="24"/>
      <c r="C85" s="119">
        <f t="shared" si="4"/>
        <v>0</v>
      </c>
    </row>
    <row r="86" spans="1:3" ht="38.25">
      <c r="A86" s="50" t="s">
        <v>18</v>
      </c>
      <c r="B86" s="24"/>
      <c r="C86" s="119">
        <f t="shared" si="4"/>
        <v>0</v>
      </c>
    </row>
    <row r="87" spans="1:3" ht="27.75" customHeight="1">
      <c r="A87" s="50" t="s">
        <v>19</v>
      </c>
      <c r="B87" s="24"/>
      <c r="C87" s="119">
        <f t="shared" si="4"/>
        <v>0</v>
      </c>
    </row>
    <row r="88" spans="1:3" ht="25.5" customHeight="1">
      <c r="A88" s="50" t="s">
        <v>20</v>
      </c>
      <c r="B88" s="24"/>
      <c r="C88" s="119">
        <f t="shared" si="4"/>
        <v>0</v>
      </c>
    </row>
    <row r="89" spans="1:3" ht="12.75">
      <c r="A89" s="50" t="s">
        <v>157</v>
      </c>
      <c r="B89" s="24"/>
      <c r="C89" s="119">
        <f t="shared" si="4"/>
        <v>0</v>
      </c>
    </row>
    <row r="90" spans="1:3" ht="12.75">
      <c r="A90" s="50" t="s">
        <v>158</v>
      </c>
      <c r="B90" s="24"/>
      <c r="C90" s="119">
        <f t="shared" si="4"/>
        <v>0</v>
      </c>
    </row>
    <row r="91" spans="1:3" ht="12.75">
      <c r="A91" s="50" t="s">
        <v>159</v>
      </c>
      <c r="B91" s="24"/>
      <c r="C91" s="119">
        <f t="shared" si="4"/>
        <v>0</v>
      </c>
    </row>
    <row r="92" ht="12.75">
      <c r="B92" s="132"/>
    </row>
    <row r="93" spans="1:3" ht="12.75">
      <c r="A93" s="122" t="s">
        <v>160</v>
      </c>
      <c r="B93" s="123"/>
      <c r="C93" s="124"/>
    </row>
    <row r="94" spans="1:3" ht="39" customHeight="1">
      <c r="A94" s="50" t="s">
        <v>161</v>
      </c>
      <c r="B94" s="24"/>
      <c r="C94" s="119">
        <f>IF(B94="S",1,0)</f>
        <v>0</v>
      </c>
    </row>
    <row r="95" spans="1:3" ht="26.25" customHeight="1">
      <c r="A95" s="50" t="s">
        <v>162</v>
      </c>
      <c r="B95" s="24"/>
      <c r="C95" s="119">
        <f>IF(B95="S",1,0)</f>
        <v>0</v>
      </c>
    </row>
    <row r="96" spans="1:3" ht="29.25" customHeight="1">
      <c r="A96" s="50" t="s">
        <v>163</v>
      </c>
      <c r="B96" s="24"/>
      <c r="C96" s="119">
        <f>IF(B96="S",1,0)</f>
        <v>0</v>
      </c>
    </row>
    <row r="97" spans="1:3" ht="13.5" customHeight="1">
      <c r="A97" s="50" t="s">
        <v>164</v>
      </c>
      <c r="B97" s="24"/>
      <c r="C97" s="119">
        <f>IF(B97="S",1,0)</f>
        <v>0</v>
      </c>
    </row>
    <row r="98" spans="1:3" ht="29.25" customHeight="1">
      <c r="A98" s="50" t="s">
        <v>165</v>
      </c>
      <c r="B98" s="24"/>
      <c r="C98" s="119">
        <f>IF(B98="S",1,0)</f>
        <v>0</v>
      </c>
    </row>
    <row r="99" ht="12.75">
      <c r="B99" s="132"/>
    </row>
    <row r="100" spans="1:3" ht="12.75">
      <c r="A100" s="122" t="s">
        <v>166</v>
      </c>
      <c r="B100" s="123"/>
      <c r="C100" s="124"/>
    </row>
    <row r="101" spans="1:3" ht="25.5">
      <c r="A101" s="50" t="s">
        <v>167</v>
      </c>
      <c r="B101" s="24"/>
      <c r="C101" s="119">
        <f aca="true" t="shared" si="5" ref="C101:C107">IF(B101="S",1,0)</f>
        <v>0</v>
      </c>
    </row>
    <row r="102" spans="1:3" ht="26.25" customHeight="1">
      <c r="A102" s="50" t="s">
        <v>168</v>
      </c>
      <c r="B102" s="24"/>
      <c r="C102" s="119">
        <f t="shared" si="5"/>
        <v>0</v>
      </c>
    </row>
    <row r="103" spans="1:3" ht="12.75">
      <c r="A103" s="50" t="s">
        <v>169</v>
      </c>
      <c r="B103" s="24"/>
      <c r="C103" s="119">
        <f t="shared" si="5"/>
        <v>0</v>
      </c>
    </row>
    <row r="104" spans="1:3" ht="12.75">
      <c r="A104" s="50" t="s">
        <v>170</v>
      </c>
      <c r="B104" s="24"/>
      <c r="C104" s="119">
        <f t="shared" si="5"/>
        <v>0</v>
      </c>
    </row>
    <row r="105" spans="1:3" ht="12.75">
      <c r="A105" s="50" t="s">
        <v>171</v>
      </c>
      <c r="B105" s="24"/>
      <c r="C105" s="119">
        <f t="shared" si="5"/>
        <v>0</v>
      </c>
    </row>
    <row r="106" spans="1:3" ht="27" customHeight="1">
      <c r="A106" s="50" t="s">
        <v>172</v>
      </c>
      <c r="B106" s="24"/>
      <c r="C106" s="119">
        <f t="shared" si="5"/>
        <v>0</v>
      </c>
    </row>
    <row r="107" spans="1:3" ht="12.75">
      <c r="A107" s="50" t="s">
        <v>173</v>
      </c>
      <c r="B107" s="24"/>
      <c r="C107" s="119">
        <f t="shared" si="5"/>
        <v>0</v>
      </c>
    </row>
    <row r="108" ht="12.75">
      <c r="B108" s="132"/>
    </row>
    <row r="109" spans="1:3" ht="12.75">
      <c r="A109" s="133" t="s">
        <v>174</v>
      </c>
      <c r="B109" s="116"/>
      <c r="C109" s="117"/>
    </row>
    <row r="110" spans="1:3" ht="39.75" customHeight="1">
      <c r="A110" s="50" t="s">
        <v>177</v>
      </c>
      <c r="B110" s="24"/>
      <c r="C110" s="119">
        <f aca="true" t="shared" si="6" ref="C110:C117">IF(B110="S",1,0)</f>
        <v>0</v>
      </c>
    </row>
    <row r="111" spans="1:3" ht="29.25" customHeight="1">
      <c r="A111" s="50" t="s">
        <v>178</v>
      </c>
      <c r="B111" s="24"/>
      <c r="C111" s="119">
        <f t="shared" si="6"/>
        <v>0</v>
      </c>
    </row>
    <row r="112" spans="1:3" ht="12.75">
      <c r="A112" s="50" t="s">
        <v>54</v>
      </c>
      <c r="B112" s="24"/>
      <c r="C112" s="119">
        <f t="shared" si="6"/>
        <v>0</v>
      </c>
    </row>
    <row r="113" spans="1:3" ht="36" customHeight="1">
      <c r="A113" s="50" t="s">
        <v>179</v>
      </c>
      <c r="B113" s="24"/>
      <c r="C113" s="119">
        <f t="shared" si="6"/>
        <v>0</v>
      </c>
    </row>
    <row r="114" spans="1:3" ht="12.75">
      <c r="A114" s="50" t="s">
        <v>180</v>
      </c>
      <c r="B114" s="24"/>
      <c r="C114" s="119">
        <f t="shared" si="6"/>
        <v>0</v>
      </c>
    </row>
    <row r="115" spans="1:3" ht="27" customHeight="1">
      <c r="A115" s="50" t="s">
        <v>122</v>
      </c>
      <c r="B115" s="24"/>
      <c r="C115" s="119">
        <f t="shared" si="6"/>
        <v>0</v>
      </c>
    </row>
    <row r="116" spans="1:3" ht="27" customHeight="1">
      <c r="A116" s="50" t="s">
        <v>181</v>
      </c>
      <c r="B116" s="24"/>
      <c r="C116" s="119">
        <f t="shared" si="6"/>
        <v>0</v>
      </c>
    </row>
    <row r="117" spans="1:3" ht="30" customHeight="1">
      <c r="A117" s="50" t="s">
        <v>182</v>
      </c>
      <c r="B117" s="24"/>
      <c r="C117" s="119">
        <f t="shared" si="6"/>
        <v>0</v>
      </c>
    </row>
    <row r="118" spans="1:3" ht="12.75">
      <c r="A118" s="50" t="s">
        <v>183</v>
      </c>
      <c r="B118" s="119"/>
      <c r="C118" s="119"/>
    </row>
    <row r="119" spans="1:3" ht="25.5" customHeight="1">
      <c r="A119" s="50" t="s">
        <v>184</v>
      </c>
      <c r="B119" s="24"/>
      <c r="C119" s="119">
        <f>IF(B119="S",1,0)</f>
        <v>0</v>
      </c>
    </row>
    <row r="120" spans="1:3" ht="12.75">
      <c r="A120" s="50" t="s">
        <v>185</v>
      </c>
      <c r="B120" s="119"/>
      <c r="C120" s="119"/>
    </row>
    <row r="121" spans="1:3" ht="25.5">
      <c r="A121" s="50" t="s">
        <v>186</v>
      </c>
      <c r="B121" s="24"/>
      <c r="C121" s="119">
        <f>IF(B121="S",1,0)</f>
        <v>0</v>
      </c>
    </row>
    <row r="122" spans="1:3" ht="12.75">
      <c r="A122" s="50" t="s">
        <v>187</v>
      </c>
      <c r="B122" s="119"/>
      <c r="C122" s="119"/>
    </row>
    <row r="123" spans="1:3" ht="12.75">
      <c r="A123" s="50" t="s">
        <v>188</v>
      </c>
      <c r="B123" s="24"/>
      <c r="C123" s="119">
        <f>IF(B123="S",1,0)</f>
        <v>0</v>
      </c>
    </row>
    <row r="124" spans="1:3" ht="38.25" customHeight="1">
      <c r="A124" s="50" t="s">
        <v>190</v>
      </c>
      <c r="B124" s="24"/>
      <c r="C124" s="119">
        <f>IF(B124="S",1,0)</f>
        <v>0</v>
      </c>
    </row>
    <row r="125" spans="1:3" ht="36" customHeight="1">
      <c r="A125" s="50" t="s">
        <v>191</v>
      </c>
      <c r="B125" s="24"/>
      <c r="C125" s="119">
        <f>IF(B125="S",1,0)</f>
        <v>0</v>
      </c>
    </row>
    <row r="126" spans="1:3" ht="12.75">
      <c r="A126" s="134" t="s">
        <v>192</v>
      </c>
      <c r="B126" s="135"/>
      <c r="C126" s="119">
        <f>IF(B126="S",1,0)</f>
        <v>0</v>
      </c>
    </row>
    <row r="127" spans="1:3" ht="12.75">
      <c r="A127" s="125" t="s">
        <v>94</v>
      </c>
      <c r="B127" s="117"/>
      <c r="C127" s="117">
        <f>SUM(C79:C126)+C75</f>
        <v>0</v>
      </c>
    </row>
    <row r="128" spans="1:2" ht="12.75">
      <c r="A128" s="125" t="s">
        <v>95</v>
      </c>
      <c r="B128" s="117">
        <f>C24+C37+C48+C127+C75-C75</f>
        <v>0</v>
      </c>
    </row>
    <row r="129" spans="1:2" ht="12.75">
      <c r="A129" s="136" t="s">
        <v>193</v>
      </c>
      <c r="B129" s="117"/>
    </row>
    <row r="130" ht="12.75">
      <c r="B130" s="111"/>
    </row>
    <row r="131" ht="12.75">
      <c r="B131" s="111"/>
    </row>
    <row r="132" spans="1:2" ht="15">
      <c r="A132" s="137" t="s">
        <v>194</v>
      </c>
      <c r="B132" s="111"/>
    </row>
    <row r="133" spans="1:3" ht="12.75">
      <c r="A133" s="122" t="s">
        <v>195</v>
      </c>
      <c r="B133" s="123"/>
      <c r="C133" s="124"/>
    </row>
    <row r="134" spans="1:3" ht="51" customHeight="1">
      <c r="A134" s="50" t="s">
        <v>196</v>
      </c>
      <c r="B134" s="24"/>
      <c r="C134" s="119">
        <f aca="true" t="shared" si="7" ref="C134:C141">IF(B134="S",1,0)</f>
        <v>0</v>
      </c>
    </row>
    <row r="135" spans="1:3" ht="38.25" customHeight="1">
      <c r="A135" s="50" t="s">
        <v>55</v>
      </c>
      <c r="B135" s="24"/>
      <c r="C135" s="119">
        <f t="shared" si="7"/>
        <v>0</v>
      </c>
    </row>
    <row r="136" spans="1:3" ht="26.25" customHeight="1">
      <c r="A136" s="50" t="s">
        <v>197</v>
      </c>
      <c r="B136" s="24"/>
      <c r="C136" s="119">
        <f t="shared" si="7"/>
        <v>0</v>
      </c>
    </row>
    <row r="137" spans="1:3" ht="39" customHeight="1">
      <c r="A137" s="50" t="s">
        <v>198</v>
      </c>
      <c r="B137" s="24"/>
      <c r="C137" s="119">
        <f t="shared" si="7"/>
        <v>0</v>
      </c>
    </row>
    <row r="138" spans="1:3" ht="39" customHeight="1">
      <c r="A138" s="50" t="s">
        <v>199</v>
      </c>
      <c r="B138" s="24"/>
      <c r="C138" s="119">
        <f t="shared" si="7"/>
        <v>0</v>
      </c>
    </row>
    <row r="139" spans="1:3" ht="42" customHeight="1">
      <c r="A139" s="50" t="s">
        <v>200</v>
      </c>
      <c r="B139" s="24"/>
      <c r="C139" s="119">
        <f t="shared" si="7"/>
        <v>0</v>
      </c>
    </row>
    <row r="140" spans="1:3" ht="36.75" customHeight="1">
      <c r="A140" s="50" t="s">
        <v>201</v>
      </c>
      <c r="B140" s="24"/>
      <c r="C140" s="119">
        <f t="shared" si="7"/>
        <v>0</v>
      </c>
    </row>
    <row r="141" spans="1:3" ht="28.5" customHeight="1">
      <c r="A141" s="50" t="s">
        <v>202</v>
      </c>
      <c r="B141" s="24"/>
      <c r="C141" s="119">
        <f t="shared" si="7"/>
        <v>0</v>
      </c>
    </row>
    <row r="142" spans="1:3" ht="12.75">
      <c r="A142" s="125" t="s">
        <v>94</v>
      </c>
      <c r="B142" s="117"/>
      <c r="C142" s="119">
        <f>IF(A144=".",SUM(C134:C141),0)</f>
        <v>0</v>
      </c>
    </row>
    <row r="143" ht="12.75">
      <c r="B143" s="111"/>
    </row>
    <row r="144" spans="1:2" ht="35.25" customHeight="1">
      <c r="A144" s="127" t="str">
        <f>IF(C134+C135+C136+C137+C138+C139+C140+C141&lt;4,"Recurso limitante: de sumar menos del 50% de los items, se anulan los demás.",".")</f>
        <v>Recurso limitante: de sumar menos del 50% de los items, se anulan los demás.</v>
      </c>
      <c r="B144" s="119"/>
    </row>
    <row r="145" ht="12.75">
      <c r="B145" s="111"/>
    </row>
    <row r="146" spans="1:3" ht="12.75">
      <c r="A146" s="122" t="s">
        <v>203</v>
      </c>
      <c r="B146" s="116"/>
      <c r="C146" s="117"/>
    </row>
    <row r="147" spans="1:3" ht="12.75">
      <c r="A147" s="50" t="s">
        <v>204</v>
      </c>
      <c r="B147" s="24"/>
      <c r="C147" s="119">
        <f aca="true" t="shared" si="8" ref="C147:C157">IF(B147="S",1,0)</f>
        <v>0</v>
      </c>
    </row>
    <row r="148" spans="1:3" ht="36.75" customHeight="1">
      <c r="A148" s="50" t="s">
        <v>205</v>
      </c>
      <c r="B148" s="24"/>
      <c r="C148" s="119">
        <f t="shared" si="8"/>
        <v>0</v>
      </c>
    </row>
    <row r="149" spans="1:3" ht="12.75">
      <c r="A149" s="50" t="s">
        <v>206</v>
      </c>
      <c r="B149" s="24"/>
      <c r="C149" s="119">
        <f t="shared" si="8"/>
        <v>0</v>
      </c>
    </row>
    <row r="150" spans="1:3" ht="39.75" customHeight="1">
      <c r="A150" s="50" t="s">
        <v>368</v>
      </c>
      <c r="B150" s="24"/>
      <c r="C150" s="119">
        <f t="shared" si="8"/>
        <v>0</v>
      </c>
    </row>
    <row r="151" spans="1:3" ht="45" customHeight="1">
      <c r="A151" s="50" t="s">
        <v>217</v>
      </c>
      <c r="B151" s="24"/>
      <c r="C151" s="119">
        <f t="shared" si="8"/>
        <v>0</v>
      </c>
    </row>
    <row r="152" spans="1:3" ht="66" customHeight="1">
      <c r="A152" s="50" t="s">
        <v>390</v>
      </c>
      <c r="B152" s="24"/>
      <c r="C152" s="119">
        <f t="shared" si="8"/>
        <v>0</v>
      </c>
    </row>
    <row r="153" spans="1:3" ht="38.25" customHeight="1">
      <c r="A153" s="50" t="s">
        <v>391</v>
      </c>
      <c r="B153" s="24"/>
      <c r="C153" s="119">
        <f t="shared" si="8"/>
        <v>0</v>
      </c>
    </row>
    <row r="154" spans="1:3" ht="67.5" customHeight="1">
      <c r="A154" s="50" t="s">
        <v>392</v>
      </c>
      <c r="B154" s="24"/>
      <c r="C154" s="119">
        <f t="shared" si="8"/>
        <v>0</v>
      </c>
    </row>
    <row r="155" spans="1:3" ht="12.75">
      <c r="A155" s="50" t="s">
        <v>123</v>
      </c>
      <c r="B155" s="24"/>
      <c r="C155" s="119">
        <f t="shared" si="8"/>
        <v>0</v>
      </c>
    </row>
    <row r="156" spans="1:3" ht="25.5" customHeight="1">
      <c r="A156" s="50" t="s">
        <v>393</v>
      </c>
      <c r="B156" s="24"/>
      <c r="C156" s="119">
        <f t="shared" si="8"/>
        <v>0</v>
      </c>
    </row>
    <row r="157" spans="1:3" ht="12.75">
      <c r="A157" s="50" t="s">
        <v>394</v>
      </c>
      <c r="B157" s="24"/>
      <c r="C157" s="119">
        <f t="shared" si="8"/>
        <v>0</v>
      </c>
    </row>
    <row r="158" spans="1:3" ht="12.75">
      <c r="A158" s="125" t="s">
        <v>94</v>
      </c>
      <c r="B158" s="117"/>
      <c r="C158" s="119">
        <f>IF(C147+C148+C149+C150+C151+C152&lt;6,0,SUM(C147:C157))</f>
        <v>0</v>
      </c>
    </row>
    <row r="159" spans="1:2" ht="30.75" customHeight="1">
      <c r="A159" s="127" t="str">
        <f>IF(C147+C148+C149+C150+C151+C152&lt;6,"Recursos Limitantes: De no poseerse alguno de los elementos de 82 a 87 se anula todo el subcapítulo",".")</f>
        <v>Recursos Limitantes: De no poseerse alguno de los elementos de 82 a 87 se anula todo el subcapítulo</v>
      </c>
      <c r="B159" s="119"/>
    </row>
    <row r="160" ht="12.75">
      <c r="B160" s="111"/>
    </row>
    <row r="161" spans="1:3" ht="12.75">
      <c r="A161" s="122" t="s">
        <v>395</v>
      </c>
      <c r="B161" s="116"/>
      <c r="C161" s="117"/>
    </row>
    <row r="162" spans="1:3" ht="34.5" customHeight="1">
      <c r="A162" s="50" t="s">
        <v>396</v>
      </c>
      <c r="B162" s="24"/>
      <c r="C162" s="119">
        <f aca="true" t="shared" si="9" ref="C162:C169">IF(B162="S",1,0)</f>
        <v>0</v>
      </c>
    </row>
    <row r="163" spans="1:3" ht="12.75">
      <c r="A163" s="50" t="s">
        <v>397</v>
      </c>
      <c r="B163" s="24"/>
      <c r="C163" s="119">
        <f t="shared" si="9"/>
        <v>0</v>
      </c>
    </row>
    <row r="164" spans="1:3" ht="27" customHeight="1">
      <c r="A164" s="50" t="s">
        <v>398</v>
      </c>
      <c r="B164" s="24"/>
      <c r="C164" s="119">
        <f t="shared" si="9"/>
        <v>0</v>
      </c>
    </row>
    <row r="165" spans="1:3" ht="12.75">
      <c r="A165" s="50" t="s">
        <v>399</v>
      </c>
      <c r="B165" s="24"/>
      <c r="C165" s="119">
        <f t="shared" si="9"/>
        <v>0</v>
      </c>
    </row>
    <row r="166" spans="1:3" ht="14.25" customHeight="1">
      <c r="A166" s="50" t="s">
        <v>400</v>
      </c>
      <c r="B166" s="24"/>
      <c r="C166" s="119">
        <f t="shared" si="9"/>
        <v>0</v>
      </c>
    </row>
    <row r="167" spans="1:3" ht="37.5" customHeight="1">
      <c r="A167" s="50" t="s">
        <v>401</v>
      </c>
      <c r="B167" s="24"/>
      <c r="C167" s="119">
        <f t="shared" si="9"/>
        <v>0</v>
      </c>
    </row>
    <row r="168" spans="1:3" ht="25.5" customHeight="1">
      <c r="A168" s="50" t="s">
        <v>402</v>
      </c>
      <c r="B168" s="24"/>
      <c r="C168" s="119">
        <f t="shared" si="9"/>
        <v>0</v>
      </c>
    </row>
    <row r="169" spans="1:3" ht="40.5" customHeight="1">
      <c r="A169" s="50" t="s">
        <v>403</v>
      </c>
      <c r="B169" s="24"/>
      <c r="C169" s="119">
        <f t="shared" si="9"/>
        <v>0</v>
      </c>
    </row>
    <row r="170" spans="1:3" ht="12.75">
      <c r="A170" s="138" t="s">
        <v>94</v>
      </c>
      <c r="B170" s="117"/>
      <c r="C170" s="119">
        <f>IF(A171=".",SUM(C162:C169),0)</f>
        <v>0</v>
      </c>
    </row>
    <row r="171" spans="1:2" ht="29.25" customHeight="1">
      <c r="A171" s="127" t="str">
        <f>IF(C162+C163+C164+C165+C166+C167+C168+C169&lt;4,"Recursos Limitantes: de sumar  menos del 50% se anula todo el subcapítulo",".")</f>
        <v>Recursos Limitantes: de sumar  menos del 50% se anula todo el subcapítulo</v>
      </c>
      <c r="B171" s="119"/>
    </row>
    <row r="172" ht="12.75">
      <c r="B172" s="111"/>
    </row>
    <row r="173" spans="1:3" ht="12.75">
      <c r="A173" s="122" t="s">
        <v>404</v>
      </c>
      <c r="B173" s="116"/>
      <c r="C173" s="117"/>
    </row>
    <row r="174" spans="1:3" ht="27" customHeight="1">
      <c r="A174" s="50" t="s">
        <v>406</v>
      </c>
      <c r="B174" s="24"/>
      <c r="C174" s="119">
        <f aca="true" t="shared" si="10" ref="C174:C212">IF(B174="S",1,0)</f>
        <v>0</v>
      </c>
    </row>
    <row r="175" spans="1:3" ht="25.5">
      <c r="A175" s="50" t="s">
        <v>407</v>
      </c>
      <c r="B175" s="24"/>
      <c r="C175" s="119">
        <f t="shared" si="10"/>
        <v>0</v>
      </c>
    </row>
    <row r="176" spans="1:3" ht="27" customHeight="1">
      <c r="A176" s="50" t="s">
        <v>408</v>
      </c>
      <c r="B176" s="24"/>
      <c r="C176" s="119">
        <f t="shared" si="10"/>
        <v>0</v>
      </c>
    </row>
    <row r="177" spans="1:3" ht="26.25" customHeight="1">
      <c r="A177" s="50" t="s">
        <v>409</v>
      </c>
      <c r="B177" s="24"/>
      <c r="C177" s="119">
        <f t="shared" si="10"/>
        <v>0</v>
      </c>
    </row>
    <row r="178" spans="1:3" ht="25.5">
      <c r="A178" s="50" t="s">
        <v>410</v>
      </c>
      <c r="B178" s="24"/>
      <c r="C178" s="119">
        <f t="shared" si="10"/>
        <v>0</v>
      </c>
    </row>
    <row r="179" spans="1:3" ht="28.5" customHeight="1">
      <c r="A179" s="50" t="s">
        <v>411</v>
      </c>
      <c r="B179" s="24"/>
      <c r="C179" s="119">
        <f t="shared" si="10"/>
        <v>0</v>
      </c>
    </row>
    <row r="180" spans="1:3" ht="12.75">
      <c r="A180" s="50" t="s">
        <v>412</v>
      </c>
      <c r="B180" s="24"/>
      <c r="C180" s="119">
        <f t="shared" si="10"/>
        <v>0</v>
      </c>
    </row>
    <row r="181" spans="1:3" ht="69.75" customHeight="1">
      <c r="A181" s="50" t="s">
        <v>207</v>
      </c>
      <c r="B181" s="24"/>
      <c r="C181" s="119">
        <f t="shared" si="10"/>
        <v>0</v>
      </c>
    </row>
    <row r="182" spans="1:3" ht="26.25" customHeight="1">
      <c r="A182" s="50" t="s">
        <v>208</v>
      </c>
      <c r="B182" s="24"/>
      <c r="C182" s="119">
        <f t="shared" si="10"/>
        <v>0</v>
      </c>
    </row>
    <row r="183" spans="1:3" ht="25.5">
      <c r="A183" s="50" t="s">
        <v>218</v>
      </c>
      <c r="B183" s="24"/>
      <c r="C183" s="119">
        <f t="shared" si="10"/>
        <v>0</v>
      </c>
    </row>
    <row r="184" spans="1:3" ht="12.75">
      <c r="A184" s="50" t="s">
        <v>413</v>
      </c>
      <c r="B184" s="24"/>
      <c r="C184" s="119">
        <f t="shared" si="10"/>
        <v>0</v>
      </c>
    </row>
    <row r="185" spans="1:3" ht="12.75">
      <c r="A185" s="50" t="s">
        <v>414</v>
      </c>
      <c r="B185" s="24"/>
      <c r="C185" s="119">
        <f t="shared" si="10"/>
        <v>0</v>
      </c>
    </row>
    <row r="186" spans="1:3" ht="13.5" customHeight="1">
      <c r="A186" s="50" t="s">
        <v>415</v>
      </c>
      <c r="B186" s="24"/>
      <c r="C186" s="119">
        <f t="shared" si="10"/>
        <v>0</v>
      </c>
    </row>
    <row r="187" spans="1:3" ht="12.75">
      <c r="A187" s="50" t="s">
        <v>416</v>
      </c>
      <c r="B187" s="24"/>
      <c r="C187" s="119">
        <f t="shared" si="10"/>
        <v>0</v>
      </c>
    </row>
    <row r="188" spans="1:3" ht="12.75">
      <c r="A188" s="50" t="s">
        <v>56</v>
      </c>
      <c r="B188" s="24"/>
      <c r="C188" s="119">
        <f t="shared" si="10"/>
        <v>0</v>
      </c>
    </row>
    <row r="189" spans="1:3" ht="12.75">
      <c r="A189" s="50" t="s">
        <v>417</v>
      </c>
      <c r="B189" s="24"/>
      <c r="C189" s="119">
        <f t="shared" si="10"/>
        <v>0</v>
      </c>
    </row>
    <row r="190" spans="1:3" ht="12.75">
      <c r="A190" s="50" t="s">
        <v>216</v>
      </c>
      <c r="B190" s="24"/>
      <c r="C190" s="119">
        <f t="shared" si="10"/>
        <v>0</v>
      </c>
    </row>
    <row r="191" spans="1:3" ht="26.25" customHeight="1">
      <c r="A191" s="50" t="s">
        <v>219</v>
      </c>
      <c r="B191" s="24"/>
      <c r="C191" s="119">
        <f t="shared" si="10"/>
        <v>0</v>
      </c>
    </row>
    <row r="192" spans="1:3" ht="12.75">
      <c r="A192" s="50" t="s">
        <v>418</v>
      </c>
      <c r="B192" s="24"/>
      <c r="C192" s="119">
        <f t="shared" si="10"/>
        <v>0</v>
      </c>
    </row>
    <row r="193" spans="1:3" ht="38.25">
      <c r="A193" s="50" t="s">
        <v>364</v>
      </c>
      <c r="B193" s="24"/>
      <c r="C193" s="119">
        <f t="shared" si="10"/>
        <v>0</v>
      </c>
    </row>
    <row r="194" spans="1:3" ht="12.75">
      <c r="A194" s="50" t="s">
        <v>419</v>
      </c>
      <c r="B194" s="24"/>
      <c r="C194" s="119">
        <f t="shared" si="10"/>
        <v>0</v>
      </c>
    </row>
    <row r="195" spans="1:3" ht="51">
      <c r="A195" s="50" t="s">
        <v>365</v>
      </c>
      <c r="B195" s="24"/>
      <c r="C195" s="119">
        <f t="shared" si="10"/>
        <v>0</v>
      </c>
    </row>
    <row r="196" spans="1:3" ht="12.75">
      <c r="A196" s="50" t="s">
        <v>420</v>
      </c>
      <c r="B196" s="24"/>
      <c r="C196" s="119">
        <f t="shared" si="10"/>
        <v>0</v>
      </c>
    </row>
    <row r="197" spans="1:3" ht="12.75">
      <c r="A197" s="50" t="s">
        <v>421</v>
      </c>
      <c r="B197" s="24"/>
      <c r="C197" s="119">
        <f t="shared" si="10"/>
        <v>0</v>
      </c>
    </row>
    <row r="198" spans="1:3" ht="12.75">
      <c r="A198" s="50" t="s">
        <v>422</v>
      </c>
      <c r="B198" s="24"/>
      <c r="C198" s="119">
        <f t="shared" si="10"/>
        <v>0</v>
      </c>
    </row>
    <row r="199" spans="1:3" ht="12.75">
      <c r="A199" s="50" t="s">
        <v>423</v>
      </c>
      <c r="B199" s="24"/>
      <c r="C199" s="119">
        <f t="shared" si="10"/>
        <v>0</v>
      </c>
    </row>
    <row r="200" spans="1:3" ht="39.75" customHeight="1">
      <c r="A200" s="50" t="s">
        <v>220</v>
      </c>
      <c r="B200" s="24"/>
      <c r="C200" s="119">
        <f t="shared" si="10"/>
        <v>0</v>
      </c>
    </row>
    <row r="201" spans="1:3" ht="26.25" customHeight="1">
      <c r="A201" s="50" t="s">
        <v>366</v>
      </c>
      <c r="B201" s="24"/>
      <c r="C201" s="119">
        <f t="shared" si="10"/>
        <v>0</v>
      </c>
    </row>
    <row r="202" spans="1:3" ht="25.5">
      <c r="A202" s="50" t="s">
        <v>57</v>
      </c>
      <c r="B202" s="24"/>
      <c r="C202" s="119">
        <f t="shared" si="10"/>
        <v>0</v>
      </c>
    </row>
    <row r="203" spans="1:3" ht="12.75">
      <c r="A203" s="50" t="s">
        <v>424</v>
      </c>
      <c r="B203" s="24"/>
      <c r="C203" s="119">
        <f t="shared" si="10"/>
        <v>0</v>
      </c>
    </row>
    <row r="204" spans="1:3" ht="24.75" customHeight="1">
      <c r="A204" s="50" t="s">
        <v>29</v>
      </c>
      <c r="B204" s="24"/>
      <c r="C204" s="119">
        <f t="shared" si="10"/>
        <v>0</v>
      </c>
    </row>
    <row r="205" spans="1:3" ht="12.75">
      <c r="A205" s="50" t="s">
        <v>30</v>
      </c>
      <c r="B205" s="24"/>
      <c r="C205" s="119">
        <f t="shared" si="10"/>
        <v>0</v>
      </c>
    </row>
    <row r="206" spans="1:3" ht="12.75">
      <c r="A206" s="50" t="s">
        <v>31</v>
      </c>
      <c r="B206" s="24"/>
      <c r="C206" s="119">
        <f t="shared" si="10"/>
        <v>0</v>
      </c>
    </row>
    <row r="207" spans="1:3" ht="12.75">
      <c r="A207" s="50" t="s">
        <v>32</v>
      </c>
      <c r="B207" s="24"/>
      <c r="C207" s="119">
        <f t="shared" si="10"/>
        <v>0</v>
      </c>
    </row>
    <row r="208" spans="1:3" ht="25.5" customHeight="1">
      <c r="A208" s="50" t="s">
        <v>367</v>
      </c>
      <c r="B208" s="24"/>
      <c r="C208" s="119">
        <f t="shared" si="10"/>
        <v>0</v>
      </c>
    </row>
    <row r="209" spans="1:3" ht="25.5" customHeight="1">
      <c r="A209" s="50" t="s">
        <v>58</v>
      </c>
      <c r="B209" s="24"/>
      <c r="C209" s="119">
        <f t="shared" si="10"/>
        <v>0</v>
      </c>
    </row>
    <row r="210" spans="1:3" ht="27.75" customHeight="1">
      <c r="A210" s="50" t="s">
        <v>59</v>
      </c>
      <c r="B210" s="24"/>
      <c r="C210" s="119">
        <f t="shared" si="10"/>
        <v>0</v>
      </c>
    </row>
    <row r="211" spans="1:3" ht="15" customHeight="1">
      <c r="A211" s="50" t="s">
        <v>221</v>
      </c>
      <c r="B211" s="24"/>
      <c r="C211" s="119">
        <f t="shared" si="10"/>
        <v>0</v>
      </c>
    </row>
    <row r="212" spans="1:3" ht="15.75" customHeight="1">
      <c r="A212" s="50" t="s">
        <v>222</v>
      </c>
      <c r="B212" s="24"/>
      <c r="C212" s="119">
        <f t="shared" si="10"/>
        <v>0</v>
      </c>
    </row>
    <row r="213" spans="1:3" ht="12.75">
      <c r="A213" s="121" t="s">
        <v>96</v>
      </c>
      <c r="B213" s="119"/>
      <c r="C213" s="119">
        <f>SUM(C174:C212)</f>
        <v>0</v>
      </c>
    </row>
    <row r="214" spans="1:3" ht="12.75">
      <c r="A214" s="121" t="s">
        <v>97</v>
      </c>
      <c r="B214" s="119">
        <f>C213+C170+C158+C142</f>
        <v>0</v>
      </c>
      <c r="C214" s="119"/>
    </row>
    <row r="215" spans="1:3" ht="3" customHeight="1">
      <c r="A215" s="50"/>
      <c r="B215" s="119"/>
      <c r="C215" s="119"/>
    </row>
    <row r="216" spans="1:3" ht="12.75">
      <c r="A216" s="139" t="s">
        <v>33</v>
      </c>
      <c r="B216" s="119"/>
      <c r="C216" s="119"/>
    </row>
    <row r="217" spans="1:3" ht="12.75">
      <c r="A217" s="50"/>
      <c r="B217" s="119"/>
      <c r="C217" s="119"/>
    </row>
    <row r="218" spans="1:3" ht="15">
      <c r="A218" s="140" t="s">
        <v>34</v>
      </c>
      <c r="B218" s="119"/>
      <c r="C218" s="119"/>
    </row>
    <row r="219" spans="1:3" ht="12.75">
      <c r="A219" s="128" t="s">
        <v>195</v>
      </c>
      <c r="B219" s="141"/>
      <c r="C219" s="141"/>
    </row>
    <row r="220" spans="1:3" ht="39.75" customHeight="1">
      <c r="A220" s="50" t="s">
        <v>223</v>
      </c>
      <c r="B220" s="24"/>
      <c r="C220" s="119">
        <f aca="true" t="shared" si="11" ref="C220:C228">IF(B220="S",1,0)</f>
        <v>0</v>
      </c>
    </row>
    <row r="221" spans="1:3" ht="25.5" customHeight="1">
      <c r="A221" s="50" t="s">
        <v>224</v>
      </c>
      <c r="B221" s="24"/>
      <c r="C221" s="119">
        <f t="shared" si="11"/>
        <v>0</v>
      </c>
    </row>
    <row r="222" spans="1:3" ht="12.75">
      <c r="A222" s="50" t="s">
        <v>258</v>
      </c>
      <c r="B222" s="24"/>
      <c r="C222" s="119">
        <f t="shared" si="11"/>
        <v>0</v>
      </c>
    </row>
    <row r="223" spans="1:3" ht="37.5" customHeight="1">
      <c r="A223" s="50" t="s">
        <v>225</v>
      </c>
      <c r="B223" s="24"/>
      <c r="C223" s="119">
        <f t="shared" si="11"/>
        <v>0</v>
      </c>
    </row>
    <row r="224" spans="1:3" ht="12.75">
      <c r="A224" s="50" t="s">
        <v>226</v>
      </c>
      <c r="B224" s="24"/>
      <c r="C224" s="119">
        <f t="shared" si="11"/>
        <v>0</v>
      </c>
    </row>
    <row r="225" spans="1:3" ht="28.5" customHeight="1">
      <c r="A225" s="50" t="s">
        <v>227</v>
      </c>
      <c r="B225" s="24"/>
      <c r="C225" s="119">
        <f t="shared" si="11"/>
        <v>0</v>
      </c>
    </row>
    <row r="226" spans="1:3" ht="54.75" customHeight="1">
      <c r="A226" s="50" t="s">
        <v>228</v>
      </c>
      <c r="B226" s="24"/>
      <c r="C226" s="119">
        <f t="shared" si="11"/>
        <v>0</v>
      </c>
    </row>
    <row r="227" spans="1:3" ht="29.25" customHeight="1">
      <c r="A227" s="50" t="s">
        <v>229</v>
      </c>
      <c r="B227" s="24"/>
      <c r="C227" s="119">
        <f t="shared" si="11"/>
        <v>0</v>
      </c>
    </row>
    <row r="228" spans="1:3" ht="28.5" customHeight="1">
      <c r="A228" s="50" t="s">
        <v>230</v>
      </c>
      <c r="B228" s="24"/>
      <c r="C228" s="119">
        <f t="shared" si="11"/>
        <v>0</v>
      </c>
    </row>
    <row r="229" spans="1:3" ht="12.75">
      <c r="A229" s="121" t="s">
        <v>61</v>
      </c>
      <c r="B229" s="119"/>
      <c r="C229" s="119">
        <f>SUM(C220:C228)</f>
        <v>0</v>
      </c>
    </row>
    <row r="230" spans="1:3" ht="36" customHeight="1">
      <c r="A230" s="127" t="str">
        <f>IF(C220+C222&lt;2,"Recursos limitantes por no cumplirse los puntos 138 y 140 ",".")</f>
        <v>Recursos limitantes por no cumplirse los puntos 138 y 140 </v>
      </c>
      <c r="B230" s="119"/>
      <c r="C230" s="119"/>
    </row>
    <row r="231" spans="1:3" ht="12.75">
      <c r="A231" s="50"/>
      <c r="B231" s="119"/>
      <c r="C231" s="119"/>
    </row>
    <row r="232" spans="1:3" ht="12.75">
      <c r="A232" s="128" t="s">
        <v>35</v>
      </c>
      <c r="B232" s="141"/>
      <c r="C232" s="141"/>
    </row>
    <row r="233" spans="1:3" ht="50.25" customHeight="1">
      <c r="A233" s="50" t="s">
        <v>231</v>
      </c>
      <c r="B233" s="24"/>
      <c r="C233" s="119">
        <f aca="true" t="shared" si="12" ref="C233:C246">IF(B233="S",1,0)</f>
        <v>0</v>
      </c>
    </row>
    <row r="234" spans="1:3" ht="42.75" customHeight="1">
      <c r="A234" s="50" t="s">
        <v>232</v>
      </c>
      <c r="B234" s="24"/>
      <c r="C234" s="119">
        <f t="shared" si="12"/>
        <v>0</v>
      </c>
    </row>
    <row r="235" spans="1:3" ht="42.75" customHeight="1">
      <c r="A235" s="50" t="s">
        <v>233</v>
      </c>
      <c r="B235" s="24"/>
      <c r="C235" s="119">
        <f t="shared" si="12"/>
        <v>0</v>
      </c>
    </row>
    <row r="236" spans="1:3" ht="27" customHeight="1">
      <c r="A236" s="50" t="s">
        <v>234</v>
      </c>
      <c r="B236" s="24"/>
      <c r="C236" s="119">
        <f t="shared" si="12"/>
        <v>0</v>
      </c>
    </row>
    <row r="237" spans="1:3" ht="27" customHeight="1">
      <c r="A237" s="50" t="s">
        <v>235</v>
      </c>
      <c r="B237" s="24"/>
      <c r="C237" s="119">
        <f t="shared" si="12"/>
        <v>0</v>
      </c>
    </row>
    <row r="238" spans="1:3" ht="27" customHeight="1">
      <c r="A238" s="50" t="s">
        <v>236</v>
      </c>
      <c r="B238" s="24"/>
      <c r="C238" s="119">
        <f t="shared" si="12"/>
        <v>0</v>
      </c>
    </row>
    <row r="239" spans="1:3" ht="27" customHeight="1">
      <c r="A239" s="50" t="s">
        <v>237</v>
      </c>
      <c r="B239" s="24"/>
      <c r="C239" s="119">
        <f t="shared" si="12"/>
        <v>0</v>
      </c>
    </row>
    <row r="240" spans="1:3" ht="27" customHeight="1">
      <c r="A240" s="50" t="s">
        <v>238</v>
      </c>
      <c r="B240" s="24"/>
      <c r="C240" s="119">
        <f t="shared" si="12"/>
        <v>0</v>
      </c>
    </row>
    <row r="241" spans="1:3" ht="27" customHeight="1">
      <c r="A241" s="50" t="s">
        <v>239</v>
      </c>
      <c r="B241" s="24"/>
      <c r="C241" s="119">
        <f t="shared" si="12"/>
        <v>0</v>
      </c>
    </row>
    <row r="242" spans="1:3" ht="27" customHeight="1">
      <c r="A242" s="50" t="s">
        <v>240</v>
      </c>
      <c r="B242" s="24"/>
      <c r="C242" s="119">
        <f t="shared" si="12"/>
        <v>0</v>
      </c>
    </row>
    <row r="243" spans="1:3" ht="27" customHeight="1">
      <c r="A243" s="50" t="s">
        <v>241</v>
      </c>
      <c r="B243" s="24"/>
      <c r="C243" s="119">
        <f t="shared" si="12"/>
        <v>0</v>
      </c>
    </row>
    <row r="244" spans="1:3" ht="27" customHeight="1">
      <c r="A244" s="50" t="s">
        <v>242</v>
      </c>
      <c r="B244" s="24"/>
      <c r="C244" s="119">
        <f t="shared" si="12"/>
        <v>0</v>
      </c>
    </row>
    <row r="245" spans="1:3" ht="27" customHeight="1">
      <c r="A245" s="50" t="s">
        <v>243</v>
      </c>
      <c r="B245" s="24"/>
      <c r="C245" s="119">
        <f t="shared" si="12"/>
        <v>0</v>
      </c>
    </row>
    <row r="246" spans="1:3" ht="27" customHeight="1">
      <c r="A246" s="50" t="s">
        <v>244</v>
      </c>
      <c r="B246" s="24"/>
      <c r="C246" s="119">
        <f t="shared" si="12"/>
        <v>0</v>
      </c>
    </row>
    <row r="247" spans="1:3" ht="12.75">
      <c r="A247" s="142" t="s">
        <v>94</v>
      </c>
      <c r="B247" s="111"/>
      <c r="C247" s="111">
        <f>IF(C233+C234+C235+C236+C237+C238&lt;6,0,SUM(C233:C246))</f>
        <v>0</v>
      </c>
    </row>
    <row r="248" spans="1:2" ht="33.75" customHeight="1">
      <c r="A248" s="127" t="str">
        <f>IF(C233+C234+C235+C236+C237+C238&lt;6,"Recursos limitantes: De no cumplirse los items de 147 a 152 se anula todo el subcapítulo",".")</f>
        <v>Recursos limitantes: De no cumplirse los items de 147 a 152 se anula todo el subcapítulo</v>
      </c>
      <c r="B248" s="119"/>
    </row>
    <row r="249" ht="12.75">
      <c r="B249" s="111"/>
    </row>
    <row r="250" spans="1:3" ht="12.75">
      <c r="A250" s="122" t="s">
        <v>36</v>
      </c>
      <c r="B250" s="123"/>
      <c r="C250" s="124"/>
    </row>
    <row r="251" spans="1:3" ht="28.5" customHeight="1">
      <c r="A251" s="50" t="s">
        <v>245</v>
      </c>
      <c r="B251" s="24"/>
      <c r="C251" s="119">
        <f aca="true" t="shared" si="13" ref="C251:C261">IF(B251="S",1,0)</f>
        <v>0</v>
      </c>
    </row>
    <row r="252" spans="1:3" ht="28.5" customHeight="1">
      <c r="A252" s="50" t="s">
        <v>246</v>
      </c>
      <c r="B252" s="24"/>
      <c r="C252" s="119">
        <f t="shared" si="13"/>
        <v>0</v>
      </c>
    </row>
    <row r="253" spans="1:3" ht="28.5" customHeight="1">
      <c r="A253" s="50" t="s">
        <v>247</v>
      </c>
      <c r="B253" s="24"/>
      <c r="C253" s="119">
        <f t="shared" si="13"/>
        <v>0</v>
      </c>
    </row>
    <row r="254" spans="1:3" ht="37.5" customHeight="1">
      <c r="A254" s="50" t="s">
        <v>248</v>
      </c>
      <c r="B254" s="24"/>
      <c r="C254" s="119">
        <f t="shared" si="13"/>
        <v>0</v>
      </c>
    </row>
    <row r="255" spans="1:3" ht="12.75">
      <c r="A255" s="50" t="s">
        <v>249</v>
      </c>
      <c r="B255" s="24"/>
      <c r="C255" s="119">
        <f t="shared" si="13"/>
        <v>0</v>
      </c>
    </row>
    <row r="256" spans="1:3" ht="55.5" customHeight="1">
      <c r="A256" s="50" t="s">
        <v>250</v>
      </c>
      <c r="B256" s="24"/>
      <c r="C256" s="119">
        <f t="shared" si="13"/>
        <v>0</v>
      </c>
    </row>
    <row r="257" spans="1:3" ht="26.25" customHeight="1">
      <c r="A257" s="50" t="s">
        <v>251</v>
      </c>
      <c r="B257" s="24"/>
      <c r="C257" s="119">
        <f t="shared" si="13"/>
        <v>0</v>
      </c>
    </row>
    <row r="258" spans="1:3" ht="26.25" customHeight="1">
      <c r="A258" s="50" t="s">
        <v>252</v>
      </c>
      <c r="B258" s="24"/>
      <c r="C258" s="119">
        <f t="shared" si="13"/>
        <v>0</v>
      </c>
    </row>
    <row r="259" spans="1:3" ht="26.25" customHeight="1">
      <c r="A259" s="50" t="s">
        <v>253</v>
      </c>
      <c r="B259" s="24"/>
      <c r="C259" s="119">
        <f t="shared" si="13"/>
        <v>0</v>
      </c>
    </row>
    <row r="260" spans="1:3" ht="26.25" customHeight="1">
      <c r="A260" s="50" t="s">
        <v>254</v>
      </c>
      <c r="B260" s="24"/>
      <c r="C260" s="119">
        <f t="shared" si="13"/>
        <v>0</v>
      </c>
    </row>
    <row r="261" spans="1:3" ht="26.25" customHeight="1">
      <c r="A261" s="133" t="s">
        <v>255</v>
      </c>
      <c r="B261" s="24"/>
      <c r="C261" s="119">
        <f t="shared" si="13"/>
        <v>0</v>
      </c>
    </row>
    <row r="262" spans="1:3" ht="12.75">
      <c r="A262" s="125" t="s">
        <v>94</v>
      </c>
      <c r="B262" s="117"/>
      <c r="C262" s="119">
        <f>SUM(C251:C261)</f>
        <v>0</v>
      </c>
    </row>
    <row r="263" spans="1:2" ht="12.75">
      <c r="A263" s="136" t="s">
        <v>44</v>
      </c>
      <c r="B263" s="117"/>
    </row>
    <row r="264" ht="12.75">
      <c r="B264" s="111"/>
    </row>
    <row r="265" spans="1:3" ht="12.75">
      <c r="A265" s="122" t="s">
        <v>45</v>
      </c>
      <c r="B265" s="123"/>
      <c r="C265" s="124"/>
    </row>
    <row r="266" spans="1:3" ht="51" customHeight="1">
      <c r="A266" s="50" t="s">
        <v>256</v>
      </c>
      <c r="B266" s="24"/>
      <c r="C266" s="119">
        <f aca="true" t="shared" si="14" ref="C266:C274">IF(B266="S",1,0)</f>
        <v>0</v>
      </c>
    </row>
    <row r="267" spans="1:3" ht="24.75" customHeight="1">
      <c r="A267" s="50" t="s">
        <v>257</v>
      </c>
      <c r="B267" s="24"/>
      <c r="C267" s="119">
        <f t="shared" si="14"/>
        <v>0</v>
      </c>
    </row>
    <row r="268" spans="1:3" ht="24" customHeight="1">
      <c r="A268" s="50" t="s">
        <v>259</v>
      </c>
      <c r="B268" s="24"/>
      <c r="C268" s="119">
        <f t="shared" si="14"/>
        <v>0</v>
      </c>
    </row>
    <row r="269" spans="1:3" ht="12.75">
      <c r="A269" s="50" t="s">
        <v>260</v>
      </c>
      <c r="B269" s="24"/>
      <c r="C269" s="119">
        <f t="shared" si="14"/>
        <v>0</v>
      </c>
    </row>
    <row r="270" spans="1:3" ht="12.75">
      <c r="A270" s="50" t="s">
        <v>261</v>
      </c>
      <c r="B270" s="24"/>
      <c r="C270" s="119">
        <f t="shared" si="14"/>
        <v>0</v>
      </c>
    </row>
    <row r="271" spans="1:3" ht="12.75">
      <c r="A271" s="50" t="s">
        <v>262</v>
      </c>
      <c r="B271" s="24"/>
      <c r="C271" s="119">
        <f t="shared" si="14"/>
        <v>0</v>
      </c>
    </row>
    <row r="272" spans="1:3" ht="12.75">
      <c r="A272" s="50" t="s">
        <v>263</v>
      </c>
      <c r="B272" s="24"/>
      <c r="C272" s="119">
        <f t="shared" si="14"/>
        <v>0</v>
      </c>
    </row>
    <row r="273" spans="1:3" ht="12.75">
      <c r="A273" s="50" t="s">
        <v>264</v>
      </c>
      <c r="B273" s="24"/>
      <c r="C273" s="119">
        <f t="shared" si="14"/>
        <v>0</v>
      </c>
    </row>
    <row r="274" spans="1:3" ht="12.75">
      <c r="A274" s="50" t="s">
        <v>265</v>
      </c>
      <c r="B274" s="24"/>
      <c r="C274" s="119">
        <f t="shared" si="14"/>
        <v>0</v>
      </c>
    </row>
    <row r="275" spans="1:3" ht="12.75">
      <c r="A275" s="125" t="s">
        <v>94</v>
      </c>
      <c r="B275" s="117"/>
      <c r="C275" s="119">
        <f>SUM(C266:C274)</f>
        <v>0</v>
      </c>
    </row>
    <row r="276" spans="1:3" ht="25.5" customHeight="1">
      <c r="A276" s="139" t="s">
        <v>46</v>
      </c>
      <c r="B276" s="119"/>
      <c r="C276" s="26"/>
    </row>
    <row r="277" spans="1:2" ht="12.75">
      <c r="A277" s="125" t="s">
        <v>62</v>
      </c>
      <c r="B277" s="117">
        <f>C275+C262+C247+C229</f>
        <v>0</v>
      </c>
    </row>
    <row r="278" ht="12.75">
      <c r="B278" s="111"/>
    </row>
    <row r="279" ht="12.75">
      <c r="B279" s="111"/>
    </row>
    <row r="280" spans="1:2" ht="15">
      <c r="A280" s="137" t="s">
        <v>47</v>
      </c>
      <c r="B280" s="111"/>
    </row>
    <row r="281" spans="1:3" ht="12.75">
      <c r="A281" s="122" t="s">
        <v>48</v>
      </c>
      <c r="B281" s="123"/>
      <c r="C281" s="124"/>
    </row>
    <row r="282" spans="1:3" ht="29.25" customHeight="1">
      <c r="A282" s="50" t="s">
        <v>266</v>
      </c>
      <c r="B282" s="24"/>
      <c r="C282" s="119">
        <f aca="true" t="shared" si="15" ref="C282:C290">IF(B282="S",1,0)</f>
        <v>0</v>
      </c>
    </row>
    <row r="283" spans="1:3" ht="12.75">
      <c r="A283" s="50" t="s">
        <v>267</v>
      </c>
      <c r="B283" s="24"/>
      <c r="C283" s="119">
        <f t="shared" si="15"/>
        <v>0</v>
      </c>
    </row>
    <row r="284" spans="1:3" ht="25.5" customHeight="1">
      <c r="A284" s="50" t="s">
        <v>268</v>
      </c>
      <c r="B284" s="24"/>
      <c r="C284" s="119">
        <f t="shared" si="15"/>
        <v>0</v>
      </c>
    </row>
    <row r="285" spans="1:3" ht="27" customHeight="1">
      <c r="A285" s="50" t="s">
        <v>269</v>
      </c>
      <c r="B285" s="24"/>
      <c r="C285" s="119">
        <f t="shared" si="15"/>
        <v>0</v>
      </c>
    </row>
    <row r="286" spans="1:3" ht="38.25" customHeight="1">
      <c r="A286" s="50" t="s">
        <v>270</v>
      </c>
      <c r="B286" s="24"/>
      <c r="C286" s="119">
        <f t="shared" si="15"/>
        <v>0</v>
      </c>
    </row>
    <row r="287" spans="1:3" ht="27" customHeight="1">
      <c r="A287" s="50" t="s">
        <v>271</v>
      </c>
      <c r="B287" s="24"/>
      <c r="C287" s="119">
        <f t="shared" si="15"/>
        <v>0</v>
      </c>
    </row>
    <row r="288" spans="1:3" ht="25.5" customHeight="1">
      <c r="A288" s="50" t="s">
        <v>272</v>
      </c>
      <c r="B288" s="24"/>
      <c r="C288" s="119">
        <f t="shared" si="15"/>
        <v>0</v>
      </c>
    </row>
    <row r="289" spans="1:3" ht="25.5" customHeight="1">
      <c r="A289" s="50" t="s">
        <v>273</v>
      </c>
      <c r="B289" s="24"/>
      <c r="C289" s="119">
        <f t="shared" si="15"/>
        <v>0</v>
      </c>
    </row>
    <row r="290" spans="1:3" ht="24" customHeight="1">
      <c r="A290" s="50" t="s">
        <v>274</v>
      </c>
      <c r="B290" s="24"/>
      <c r="C290" s="119">
        <f t="shared" si="15"/>
        <v>0</v>
      </c>
    </row>
    <row r="291" ht="6.75" customHeight="1">
      <c r="B291" s="111"/>
    </row>
    <row r="292" spans="1:3" ht="12.75">
      <c r="A292" s="125" t="s">
        <v>94</v>
      </c>
      <c r="B292" s="117"/>
      <c r="C292" s="119">
        <f>SUM(C282:C291)</f>
        <v>0</v>
      </c>
    </row>
    <row r="293" spans="1:2" ht="27" customHeight="1">
      <c r="A293" s="143" t="s">
        <v>49</v>
      </c>
      <c r="B293" s="111"/>
    </row>
    <row r="294" ht="12.75">
      <c r="B294" s="111"/>
    </row>
    <row r="295" spans="1:3" ht="12.75">
      <c r="A295" s="122" t="s">
        <v>50</v>
      </c>
      <c r="B295" s="123"/>
      <c r="C295" s="124"/>
    </row>
    <row r="296" spans="1:3" ht="29.25" customHeight="1">
      <c r="A296" s="50" t="s">
        <v>275</v>
      </c>
      <c r="B296" s="24"/>
      <c r="C296" s="119">
        <f aca="true" t="shared" si="16" ref="C296:C307">IF(B296="S",1,0)</f>
        <v>0</v>
      </c>
    </row>
    <row r="297" spans="1:3" ht="27.75" customHeight="1">
      <c r="A297" s="50" t="s">
        <v>276</v>
      </c>
      <c r="B297" s="24"/>
      <c r="C297" s="119">
        <f t="shared" si="16"/>
        <v>0</v>
      </c>
    </row>
    <row r="298" spans="1:3" ht="27.75" customHeight="1">
      <c r="A298" s="50" t="s">
        <v>277</v>
      </c>
      <c r="B298" s="24"/>
      <c r="C298" s="119">
        <f t="shared" si="16"/>
        <v>0</v>
      </c>
    </row>
    <row r="299" spans="1:3" ht="12.75">
      <c r="A299" s="50" t="s">
        <v>278</v>
      </c>
      <c r="B299" s="24"/>
      <c r="C299" s="119">
        <f t="shared" si="16"/>
        <v>0</v>
      </c>
    </row>
    <row r="300" spans="1:3" ht="24.75" customHeight="1">
      <c r="A300" s="50" t="s">
        <v>279</v>
      </c>
      <c r="B300" s="24"/>
      <c r="C300" s="119">
        <f t="shared" si="16"/>
        <v>0</v>
      </c>
    </row>
    <row r="301" spans="1:3" ht="12.75">
      <c r="A301" s="50" t="s">
        <v>280</v>
      </c>
      <c r="B301" s="24"/>
      <c r="C301" s="119">
        <f t="shared" si="16"/>
        <v>0</v>
      </c>
    </row>
    <row r="302" spans="1:3" ht="25.5">
      <c r="A302" s="50" t="s">
        <v>281</v>
      </c>
      <c r="B302" s="24"/>
      <c r="C302" s="119">
        <f t="shared" si="16"/>
        <v>0</v>
      </c>
    </row>
    <row r="303" spans="1:3" ht="25.5">
      <c r="A303" s="50" t="s">
        <v>282</v>
      </c>
      <c r="B303" s="24"/>
      <c r="C303" s="119">
        <f t="shared" si="16"/>
        <v>0</v>
      </c>
    </row>
    <row r="304" spans="1:3" ht="25.5">
      <c r="A304" s="50" t="s">
        <v>283</v>
      </c>
      <c r="B304" s="24"/>
      <c r="C304" s="119">
        <f t="shared" si="16"/>
        <v>0</v>
      </c>
    </row>
    <row r="305" spans="1:3" ht="12.75">
      <c r="A305" s="50" t="s">
        <v>284</v>
      </c>
      <c r="B305" s="24"/>
      <c r="C305" s="119">
        <f t="shared" si="16"/>
        <v>0</v>
      </c>
    </row>
    <row r="306" spans="1:3" ht="28.5" customHeight="1">
      <c r="A306" s="50" t="s">
        <v>285</v>
      </c>
      <c r="B306" s="24"/>
      <c r="C306" s="119">
        <f t="shared" si="16"/>
        <v>0</v>
      </c>
    </row>
    <row r="307" spans="1:3" ht="27" customHeight="1">
      <c r="A307" s="50" t="s">
        <v>286</v>
      </c>
      <c r="B307" s="24"/>
      <c r="C307" s="119">
        <f t="shared" si="16"/>
        <v>0</v>
      </c>
    </row>
    <row r="308" spans="1:3" ht="12.75">
      <c r="A308" s="125" t="s">
        <v>94</v>
      </c>
      <c r="B308" s="117"/>
      <c r="C308" s="119">
        <f>SUM(C296:C307)</f>
        <v>0</v>
      </c>
    </row>
    <row r="309" spans="1:2" ht="26.25" customHeight="1">
      <c r="A309" s="143" t="s">
        <v>49</v>
      </c>
      <c r="B309" s="111"/>
    </row>
    <row r="310" ht="12.75">
      <c r="B310" s="111"/>
    </row>
    <row r="311" spans="1:3" ht="12.75">
      <c r="A311" s="122" t="s">
        <v>60</v>
      </c>
      <c r="B311" s="123"/>
      <c r="C311" s="124"/>
    </row>
    <row r="312" spans="1:3" ht="12.75">
      <c r="A312" s="50" t="s">
        <v>287</v>
      </c>
      <c r="B312" s="24"/>
      <c r="C312" s="119">
        <f aca="true" t="shared" si="17" ref="C312:C319">IF(B312="S",1,0)</f>
        <v>0</v>
      </c>
    </row>
    <row r="313" spans="1:3" ht="12.75">
      <c r="A313" s="50" t="s">
        <v>288</v>
      </c>
      <c r="B313" s="24"/>
      <c r="C313" s="119">
        <f t="shared" si="17"/>
        <v>0</v>
      </c>
    </row>
    <row r="314" spans="1:3" ht="12.75">
      <c r="A314" s="50" t="s">
        <v>289</v>
      </c>
      <c r="B314" s="24"/>
      <c r="C314" s="119">
        <f t="shared" si="17"/>
        <v>0</v>
      </c>
    </row>
    <row r="315" spans="1:3" ht="24.75" customHeight="1">
      <c r="A315" s="50" t="s">
        <v>290</v>
      </c>
      <c r="B315" s="24"/>
      <c r="C315" s="119">
        <f t="shared" si="17"/>
        <v>0</v>
      </c>
    </row>
    <row r="316" spans="1:3" ht="29.25" customHeight="1">
      <c r="A316" s="50" t="s">
        <v>291</v>
      </c>
      <c r="B316" s="24"/>
      <c r="C316" s="119">
        <f t="shared" si="17"/>
        <v>0</v>
      </c>
    </row>
    <row r="317" spans="1:3" ht="39" customHeight="1">
      <c r="A317" s="50" t="s">
        <v>292</v>
      </c>
      <c r="B317" s="24"/>
      <c r="C317" s="119">
        <f t="shared" si="17"/>
        <v>0</v>
      </c>
    </row>
    <row r="318" spans="1:3" ht="12.75">
      <c r="A318" s="50" t="s">
        <v>293</v>
      </c>
      <c r="B318" s="24"/>
      <c r="C318" s="119">
        <f t="shared" si="17"/>
        <v>0</v>
      </c>
    </row>
    <row r="319" spans="1:3" ht="30.75" customHeight="1">
      <c r="A319" s="134" t="s">
        <v>294</v>
      </c>
      <c r="B319" s="24"/>
      <c r="C319" s="119">
        <f t="shared" si="17"/>
        <v>0</v>
      </c>
    </row>
    <row r="320" spans="1:3" ht="12.75">
      <c r="A320" s="125" t="s">
        <v>94</v>
      </c>
      <c r="B320" s="117"/>
      <c r="C320" s="119">
        <f>SUM(C312:C319)</f>
        <v>0</v>
      </c>
    </row>
    <row r="321" spans="1:2" ht="27" customHeight="1">
      <c r="A321" s="143" t="s">
        <v>49</v>
      </c>
      <c r="B321" s="111"/>
    </row>
    <row r="322" ht="12.75">
      <c r="B322" s="111"/>
    </row>
    <row r="323" spans="1:2" ht="12.75">
      <c r="A323" s="125" t="s">
        <v>64</v>
      </c>
      <c r="B323" s="117">
        <f>C320+C308+C292</f>
        <v>0</v>
      </c>
    </row>
    <row r="324" ht="12.75">
      <c r="B324" s="111"/>
    </row>
    <row r="325" ht="12.75">
      <c r="B325" s="111"/>
    </row>
    <row r="326" spans="1:2" ht="18.75" customHeight="1">
      <c r="A326" s="144" t="s">
        <v>69</v>
      </c>
      <c r="B326" s="111"/>
    </row>
    <row r="327" spans="1:2" ht="12.75">
      <c r="A327" s="145" t="s">
        <v>70</v>
      </c>
      <c r="B327" s="111"/>
    </row>
    <row r="328" spans="1:3" ht="12.75">
      <c r="A328" s="122" t="s">
        <v>71</v>
      </c>
      <c r="B328" s="123"/>
      <c r="C328" s="124"/>
    </row>
    <row r="329" spans="1:3" ht="70.5" customHeight="1">
      <c r="A329" s="50" t="s">
        <v>295</v>
      </c>
      <c r="B329" s="24"/>
      <c r="C329" s="119">
        <f aca="true" t="shared" si="18" ref="C329:C340">IF(B329="S",1,0)</f>
        <v>0</v>
      </c>
    </row>
    <row r="330" spans="1:3" ht="41.25" customHeight="1">
      <c r="A330" s="50" t="s">
        <v>296</v>
      </c>
      <c r="B330" s="24"/>
      <c r="C330" s="119">
        <f t="shared" si="18"/>
        <v>0</v>
      </c>
    </row>
    <row r="331" spans="1:3" ht="30" customHeight="1">
      <c r="A331" s="50" t="s">
        <v>297</v>
      </c>
      <c r="B331" s="24"/>
      <c r="C331" s="119">
        <f t="shared" si="18"/>
        <v>0</v>
      </c>
    </row>
    <row r="332" spans="1:3" ht="29.25" customHeight="1">
      <c r="A332" s="50" t="s">
        <v>298</v>
      </c>
      <c r="B332" s="24"/>
      <c r="C332" s="119">
        <f t="shared" si="18"/>
        <v>0</v>
      </c>
    </row>
    <row r="333" spans="1:3" ht="30" customHeight="1">
      <c r="A333" s="50" t="s">
        <v>299</v>
      </c>
      <c r="B333" s="24"/>
      <c r="C333" s="119">
        <f t="shared" si="18"/>
        <v>0</v>
      </c>
    </row>
    <row r="334" spans="1:3" ht="41.25" customHeight="1">
      <c r="A334" s="50" t="s">
        <v>300</v>
      </c>
      <c r="B334" s="24"/>
      <c r="C334" s="119">
        <f t="shared" si="18"/>
        <v>0</v>
      </c>
    </row>
    <row r="335" spans="1:3" ht="30.75" customHeight="1">
      <c r="A335" s="50" t="s">
        <v>301</v>
      </c>
      <c r="B335" s="24"/>
      <c r="C335" s="119">
        <f t="shared" si="18"/>
        <v>0</v>
      </c>
    </row>
    <row r="336" spans="1:3" ht="38.25" customHeight="1">
      <c r="A336" s="50" t="s">
        <v>302</v>
      </c>
      <c r="B336" s="24"/>
      <c r="C336" s="119">
        <f t="shared" si="18"/>
        <v>0</v>
      </c>
    </row>
    <row r="337" spans="1:3" ht="37.5" customHeight="1">
      <c r="A337" s="50" t="s">
        <v>303</v>
      </c>
      <c r="B337" s="24"/>
      <c r="C337" s="119">
        <f t="shared" si="18"/>
        <v>0</v>
      </c>
    </row>
    <row r="338" spans="1:3" ht="39" customHeight="1">
      <c r="A338" s="50" t="s">
        <v>304</v>
      </c>
      <c r="B338" s="24"/>
      <c r="C338" s="119">
        <f t="shared" si="18"/>
        <v>0</v>
      </c>
    </row>
    <row r="339" spans="1:3" ht="43.5" customHeight="1">
      <c r="A339" s="50" t="s">
        <v>305</v>
      </c>
      <c r="B339" s="24"/>
      <c r="C339" s="119">
        <f t="shared" si="18"/>
        <v>0</v>
      </c>
    </row>
    <row r="340" spans="1:3" ht="30.75" customHeight="1">
      <c r="A340" s="50" t="s">
        <v>306</v>
      </c>
      <c r="B340" s="24"/>
      <c r="C340" s="119">
        <f t="shared" si="18"/>
        <v>0</v>
      </c>
    </row>
    <row r="341" spans="1:3" ht="12.75">
      <c r="A341" s="125" t="s">
        <v>94</v>
      </c>
      <c r="B341" s="117"/>
      <c r="C341" s="119">
        <f>SUM(C329:C340)</f>
        <v>0</v>
      </c>
    </row>
    <row r="342" ht="12.75">
      <c r="B342" s="111"/>
    </row>
    <row r="343" ht="12.75">
      <c r="B343" s="111"/>
    </row>
    <row r="344" spans="1:3" ht="12.75">
      <c r="A344" s="122" t="s">
        <v>72</v>
      </c>
      <c r="B344" s="116"/>
      <c r="C344" s="117"/>
    </row>
    <row r="345" spans="1:3" ht="30" customHeight="1">
      <c r="A345" s="50" t="s">
        <v>307</v>
      </c>
      <c r="B345" s="24"/>
      <c r="C345" s="119">
        <f aca="true" t="shared" si="19" ref="C345:C350">IF(B345="S",1,0)</f>
        <v>0</v>
      </c>
    </row>
    <row r="346" spans="1:3" ht="39.75" customHeight="1">
      <c r="A346" s="50" t="s">
        <v>308</v>
      </c>
      <c r="B346" s="24"/>
      <c r="C346" s="119">
        <f t="shared" si="19"/>
        <v>0</v>
      </c>
    </row>
    <row r="347" spans="1:3" ht="25.5" customHeight="1">
      <c r="A347" s="50" t="s">
        <v>309</v>
      </c>
      <c r="B347" s="24"/>
      <c r="C347" s="119">
        <f t="shared" si="19"/>
        <v>0</v>
      </c>
    </row>
    <row r="348" spans="1:3" ht="26.25" customHeight="1">
      <c r="A348" s="50" t="s">
        <v>310</v>
      </c>
      <c r="B348" s="24"/>
      <c r="C348" s="119">
        <f t="shared" si="19"/>
        <v>0</v>
      </c>
    </row>
    <row r="349" spans="1:3" ht="39" customHeight="1">
      <c r="A349" s="50" t="s">
        <v>311</v>
      </c>
      <c r="B349" s="24"/>
      <c r="C349" s="119">
        <f t="shared" si="19"/>
        <v>0</v>
      </c>
    </row>
    <row r="350" spans="1:3" ht="24.75" customHeight="1" thickBot="1">
      <c r="A350" s="46" t="s">
        <v>312</v>
      </c>
      <c r="B350" s="187"/>
      <c r="C350" s="189">
        <f t="shared" si="19"/>
        <v>0</v>
      </c>
    </row>
    <row r="351" spans="1:3" ht="12.75">
      <c r="A351" s="146" t="s">
        <v>73</v>
      </c>
      <c r="B351" s="188"/>
      <c r="C351" s="190"/>
    </row>
    <row r="352" spans="1:3" ht="25.5">
      <c r="A352" s="147" t="s">
        <v>74</v>
      </c>
      <c r="B352" s="188"/>
      <c r="C352" s="190"/>
    </row>
    <row r="353" spans="1:3" ht="12.75">
      <c r="A353" s="147" t="s">
        <v>91</v>
      </c>
      <c r="B353" s="188"/>
      <c r="C353" s="190"/>
    </row>
    <row r="354" spans="1:3" ht="12.75">
      <c r="A354" s="147" t="s">
        <v>92</v>
      </c>
      <c r="B354" s="188"/>
      <c r="C354" s="190"/>
    </row>
    <row r="355" spans="1:3" ht="12.75">
      <c r="A355" s="147" t="s">
        <v>93</v>
      </c>
      <c r="B355" s="188"/>
      <c r="C355" s="190"/>
    </row>
    <row r="356" spans="1:3" ht="12.75">
      <c r="A356" s="147" t="s">
        <v>75</v>
      </c>
      <c r="B356" s="188"/>
      <c r="C356" s="190"/>
    </row>
    <row r="357" spans="1:3" ht="13.5" thickBot="1">
      <c r="A357" s="148" t="s">
        <v>76</v>
      </c>
      <c r="B357" s="188"/>
      <c r="C357" s="190"/>
    </row>
    <row r="358" spans="1:3" ht="36.75" customHeight="1">
      <c r="A358" s="131" t="s">
        <v>313</v>
      </c>
      <c r="B358" s="118"/>
      <c r="C358" s="149">
        <f>IF(B358="S",1,0)</f>
        <v>0</v>
      </c>
    </row>
    <row r="359" spans="1:3" ht="27" customHeight="1">
      <c r="A359" s="50" t="s">
        <v>314</v>
      </c>
      <c r="B359" s="24"/>
      <c r="C359" s="119">
        <f>IF(B359="S",1,0)</f>
        <v>0</v>
      </c>
    </row>
    <row r="360" spans="1:3" ht="68.25" customHeight="1">
      <c r="A360" s="50" t="s">
        <v>315</v>
      </c>
      <c r="B360" s="24"/>
      <c r="C360" s="119">
        <f>IF(B360="S",1,0)</f>
        <v>0</v>
      </c>
    </row>
    <row r="361" spans="1:3" ht="39" customHeight="1">
      <c r="A361" s="50" t="s">
        <v>316</v>
      </c>
      <c r="B361" s="24"/>
      <c r="C361" s="119">
        <f>IF(B361="S",1,0)</f>
        <v>0</v>
      </c>
    </row>
    <row r="362" spans="1:3" ht="12.75">
      <c r="A362" s="125" t="s">
        <v>94</v>
      </c>
      <c r="B362" s="117"/>
      <c r="C362" s="119">
        <f>SUM(C345:C361)</f>
        <v>0</v>
      </c>
    </row>
    <row r="363" ht="12.75">
      <c r="B363" s="111"/>
    </row>
    <row r="364" spans="1:3" ht="12.75">
      <c r="A364" s="122" t="s">
        <v>78</v>
      </c>
      <c r="B364" s="116"/>
      <c r="C364" s="117"/>
    </row>
    <row r="365" spans="1:3" ht="55.5" customHeight="1">
      <c r="A365" s="50" t="s">
        <v>317</v>
      </c>
      <c r="B365" s="24"/>
      <c r="C365" s="119">
        <f aca="true" t="shared" si="20" ref="C365:C370">IF(B365="S",1,0)</f>
        <v>0</v>
      </c>
    </row>
    <row r="366" spans="1:3" ht="51" customHeight="1">
      <c r="A366" s="50" t="s">
        <v>318</v>
      </c>
      <c r="B366" s="24"/>
      <c r="C366" s="119">
        <f t="shared" si="20"/>
        <v>0</v>
      </c>
    </row>
    <row r="367" spans="1:3" ht="41.25" customHeight="1">
      <c r="A367" s="50" t="s">
        <v>319</v>
      </c>
      <c r="B367" s="24"/>
      <c r="C367" s="119">
        <f t="shared" si="20"/>
        <v>0</v>
      </c>
    </row>
    <row r="368" spans="1:3" ht="30" customHeight="1">
      <c r="A368" s="50" t="s">
        <v>320</v>
      </c>
      <c r="B368" s="24"/>
      <c r="C368" s="119">
        <f t="shared" si="20"/>
        <v>0</v>
      </c>
    </row>
    <row r="369" spans="1:3" ht="39.75" customHeight="1">
      <c r="A369" s="50" t="s">
        <v>321</v>
      </c>
      <c r="B369" s="24"/>
      <c r="C369" s="119">
        <f t="shared" si="20"/>
        <v>0</v>
      </c>
    </row>
    <row r="370" spans="1:3" ht="30.75" customHeight="1">
      <c r="A370" s="50" t="s">
        <v>322</v>
      </c>
      <c r="B370" s="24"/>
      <c r="C370" s="119">
        <f t="shared" si="20"/>
        <v>0</v>
      </c>
    </row>
    <row r="371" spans="1:3" ht="12.75">
      <c r="A371" s="125" t="s">
        <v>94</v>
      </c>
      <c r="B371" s="117"/>
      <c r="C371" s="119">
        <f>SUM(C365:C370)</f>
        <v>0</v>
      </c>
    </row>
    <row r="372" ht="12.75">
      <c r="B372" s="111"/>
    </row>
    <row r="373" spans="1:3" ht="12.75">
      <c r="A373" s="122" t="s">
        <v>79</v>
      </c>
      <c r="B373" s="123"/>
      <c r="C373" s="124"/>
    </row>
    <row r="374" spans="1:3" ht="27" customHeight="1">
      <c r="A374" s="50" t="s">
        <v>323</v>
      </c>
      <c r="B374" s="24"/>
      <c r="C374" s="119">
        <f aca="true" t="shared" si="21" ref="C374:C384">IF(B374="S",1,0)</f>
        <v>0</v>
      </c>
    </row>
    <row r="375" spans="1:3" ht="27.75" customHeight="1">
      <c r="A375" s="50" t="s">
        <v>324</v>
      </c>
      <c r="B375" s="24"/>
      <c r="C375" s="119">
        <f t="shared" si="21"/>
        <v>0</v>
      </c>
    </row>
    <row r="376" spans="1:3" ht="55.5" customHeight="1">
      <c r="A376" s="50" t="s">
        <v>325</v>
      </c>
      <c r="B376" s="24"/>
      <c r="C376" s="119">
        <f t="shared" si="21"/>
        <v>0</v>
      </c>
    </row>
    <row r="377" spans="1:3" ht="27" customHeight="1">
      <c r="A377" s="50" t="s">
        <v>326</v>
      </c>
      <c r="B377" s="24"/>
      <c r="C377" s="119">
        <f t="shared" si="21"/>
        <v>0</v>
      </c>
    </row>
    <row r="378" spans="1:3" ht="25.5" customHeight="1">
      <c r="A378" s="50" t="s">
        <v>327</v>
      </c>
      <c r="B378" s="24"/>
      <c r="C378" s="119">
        <f t="shared" si="21"/>
        <v>0</v>
      </c>
    </row>
    <row r="379" spans="1:3" ht="40.5" customHeight="1">
      <c r="A379" s="50" t="s">
        <v>328</v>
      </c>
      <c r="B379" s="24"/>
      <c r="C379" s="119">
        <f t="shared" si="21"/>
        <v>0</v>
      </c>
    </row>
    <row r="380" spans="1:3" ht="25.5">
      <c r="A380" s="50" t="s">
        <v>329</v>
      </c>
      <c r="B380" s="24"/>
      <c r="C380" s="119">
        <f t="shared" si="21"/>
        <v>0</v>
      </c>
    </row>
    <row r="381" spans="1:3" ht="25.5">
      <c r="A381" s="50" t="s">
        <v>330</v>
      </c>
      <c r="B381" s="24"/>
      <c r="C381" s="119">
        <f t="shared" si="21"/>
        <v>0</v>
      </c>
    </row>
    <row r="382" spans="1:3" ht="51.75" customHeight="1">
      <c r="A382" s="50" t="s">
        <v>331</v>
      </c>
      <c r="B382" s="24"/>
      <c r="C382" s="119">
        <f t="shared" si="21"/>
        <v>0</v>
      </c>
    </row>
    <row r="383" spans="1:3" ht="51.75" customHeight="1">
      <c r="A383" s="50" t="s">
        <v>332</v>
      </c>
      <c r="B383" s="24"/>
      <c r="C383" s="150">
        <f t="shared" si="21"/>
        <v>0</v>
      </c>
    </row>
    <row r="384" spans="1:3" ht="33.75" customHeight="1">
      <c r="A384" s="133" t="s">
        <v>333</v>
      </c>
      <c r="B384" s="24"/>
      <c r="C384" s="150">
        <f t="shared" si="21"/>
        <v>0</v>
      </c>
    </row>
    <row r="385" spans="1:4" ht="12.75">
      <c r="A385" s="125" t="s">
        <v>94</v>
      </c>
      <c r="B385" s="117"/>
      <c r="C385" s="35">
        <f>SUM(C374:C384)</f>
        <v>0</v>
      </c>
      <c r="D385" s="36"/>
    </row>
    <row r="386" spans="1:2" ht="12.75">
      <c r="A386" s="125" t="s">
        <v>65</v>
      </c>
      <c r="B386" s="117">
        <f>C385+C371+C362+C341</f>
        <v>0</v>
      </c>
    </row>
    <row r="387" ht="12.75">
      <c r="B387" s="111"/>
    </row>
    <row r="388" spans="1:3" ht="12.75">
      <c r="A388" s="151" t="s">
        <v>99</v>
      </c>
      <c r="B388" s="152"/>
      <c r="C388" s="153"/>
    </row>
    <row r="389" spans="1:3" ht="25.5" customHeight="1">
      <c r="A389" s="50" t="s">
        <v>334</v>
      </c>
      <c r="B389" s="24"/>
      <c r="C389" s="119">
        <f aca="true" t="shared" si="22" ref="C389:C400">IF(B389="S",1,0)</f>
        <v>0</v>
      </c>
    </row>
    <row r="390" spans="1:3" ht="25.5">
      <c r="A390" s="50" t="s">
        <v>335</v>
      </c>
      <c r="B390" s="24"/>
      <c r="C390" s="119">
        <f t="shared" si="22"/>
        <v>0</v>
      </c>
    </row>
    <row r="391" spans="1:3" ht="28.5" customHeight="1">
      <c r="A391" s="50" t="s">
        <v>336</v>
      </c>
      <c r="B391" s="24"/>
      <c r="C391" s="119">
        <f t="shared" si="22"/>
        <v>0</v>
      </c>
    </row>
    <row r="392" spans="1:3" ht="27" customHeight="1">
      <c r="A392" s="50" t="s">
        <v>337</v>
      </c>
      <c r="B392" s="24"/>
      <c r="C392" s="119">
        <f t="shared" si="22"/>
        <v>0</v>
      </c>
    </row>
    <row r="393" spans="1:3" ht="42" customHeight="1">
      <c r="A393" s="50" t="s">
        <v>338</v>
      </c>
      <c r="B393" s="24"/>
      <c r="C393" s="119">
        <f t="shared" si="22"/>
        <v>0</v>
      </c>
    </row>
    <row r="394" spans="1:3" ht="25.5" customHeight="1">
      <c r="A394" s="50" t="s">
        <v>339</v>
      </c>
      <c r="B394" s="24"/>
      <c r="C394" s="119">
        <f t="shared" si="22"/>
        <v>0</v>
      </c>
    </row>
    <row r="395" spans="1:3" ht="39.75" customHeight="1">
      <c r="A395" s="50" t="s">
        <v>340</v>
      </c>
      <c r="B395" s="24"/>
      <c r="C395" s="119">
        <f t="shared" si="22"/>
        <v>0</v>
      </c>
    </row>
    <row r="396" spans="1:3" ht="51" customHeight="1">
      <c r="A396" s="50" t="s">
        <v>341</v>
      </c>
      <c r="B396" s="24"/>
      <c r="C396" s="119">
        <f t="shared" si="22"/>
        <v>0</v>
      </c>
    </row>
    <row r="397" spans="1:3" ht="25.5">
      <c r="A397" s="50" t="s">
        <v>342</v>
      </c>
      <c r="B397" s="24"/>
      <c r="C397" s="119">
        <f t="shared" si="22"/>
        <v>0</v>
      </c>
    </row>
    <row r="398" spans="1:3" ht="25.5" customHeight="1">
      <c r="A398" s="50" t="s">
        <v>343</v>
      </c>
      <c r="B398" s="24"/>
      <c r="C398" s="119">
        <f t="shared" si="22"/>
        <v>0</v>
      </c>
    </row>
    <row r="399" spans="1:3" ht="12.75">
      <c r="A399" s="50" t="s">
        <v>344</v>
      </c>
      <c r="B399" s="24"/>
      <c r="C399" s="119">
        <f t="shared" si="22"/>
        <v>0</v>
      </c>
    </row>
    <row r="400" spans="1:3" ht="27" customHeight="1">
      <c r="A400" s="50" t="s">
        <v>345</v>
      </c>
      <c r="B400" s="24"/>
      <c r="C400" s="119">
        <f t="shared" si="22"/>
        <v>0</v>
      </c>
    </row>
    <row r="401" spans="1:3" ht="12.75">
      <c r="A401" s="125" t="s">
        <v>94</v>
      </c>
      <c r="B401" s="117"/>
      <c r="C401" s="119">
        <f>SUM(C389:C400)</f>
        <v>0</v>
      </c>
    </row>
    <row r="402" ht="12.75">
      <c r="B402" s="111"/>
    </row>
    <row r="403" spans="1:3" ht="13.5" customHeight="1">
      <c r="A403" s="122" t="s">
        <v>100</v>
      </c>
      <c r="B403" s="123"/>
      <c r="C403" s="124"/>
    </row>
    <row r="404" spans="1:3" ht="41.25" customHeight="1">
      <c r="A404" s="50" t="s">
        <v>346</v>
      </c>
      <c r="B404" s="24"/>
      <c r="C404" s="119">
        <f aca="true" t="shared" si="23" ref="C404:C421">IF(B404="S",1,0)</f>
        <v>0</v>
      </c>
    </row>
    <row r="405" spans="1:3" ht="39" customHeight="1">
      <c r="A405" s="50" t="s">
        <v>347</v>
      </c>
      <c r="B405" s="24"/>
      <c r="C405" s="119">
        <f t="shared" si="23"/>
        <v>0</v>
      </c>
    </row>
    <row r="406" spans="1:3" ht="40.5" customHeight="1">
      <c r="A406" s="50" t="s">
        <v>348</v>
      </c>
      <c r="B406" s="24"/>
      <c r="C406" s="119">
        <f t="shared" si="23"/>
        <v>0</v>
      </c>
    </row>
    <row r="407" spans="1:3" ht="15" customHeight="1">
      <c r="A407" s="50" t="s">
        <v>349</v>
      </c>
      <c r="B407" s="24"/>
      <c r="C407" s="119">
        <f t="shared" si="23"/>
        <v>0</v>
      </c>
    </row>
    <row r="408" spans="1:3" ht="25.5" customHeight="1">
      <c r="A408" s="50" t="s">
        <v>350</v>
      </c>
      <c r="B408" s="24"/>
      <c r="C408" s="119">
        <f t="shared" si="23"/>
        <v>0</v>
      </c>
    </row>
    <row r="409" spans="1:3" ht="25.5" customHeight="1">
      <c r="A409" s="50" t="s">
        <v>351</v>
      </c>
      <c r="B409" s="24"/>
      <c r="C409" s="119">
        <f t="shared" si="23"/>
        <v>0</v>
      </c>
    </row>
    <row r="410" spans="1:3" ht="37.5" customHeight="1">
      <c r="A410" s="50" t="s">
        <v>352</v>
      </c>
      <c r="B410" s="24"/>
      <c r="C410" s="119">
        <f t="shared" si="23"/>
        <v>0</v>
      </c>
    </row>
    <row r="411" spans="1:3" ht="27.75" customHeight="1">
      <c r="A411" s="50" t="s">
        <v>353</v>
      </c>
      <c r="B411" s="24"/>
      <c r="C411" s="119">
        <f t="shared" si="23"/>
        <v>0</v>
      </c>
    </row>
    <row r="412" spans="1:3" ht="25.5" customHeight="1">
      <c r="A412" s="50" t="s">
        <v>354</v>
      </c>
      <c r="B412" s="24"/>
      <c r="C412" s="119">
        <f t="shared" si="23"/>
        <v>0</v>
      </c>
    </row>
    <row r="413" spans="1:3" ht="12.75">
      <c r="A413" s="50" t="s">
        <v>355</v>
      </c>
      <c r="B413" s="24"/>
      <c r="C413" s="119">
        <f t="shared" si="23"/>
        <v>0</v>
      </c>
    </row>
    <row r="414" spans="1:3" ht="25.5" customHeight="1">
      <c r="A414" s="50" t="s">
        <v>356</v>
      </c>
      <c r="B414" s="24"/>
      <c r="C414" s="119">
        <f t="shared" si="23"/>
        <v>0</v>
      </c>
    </row>
    <row r="415" spans="1:3" ht="37.5" customHeight="1">
      <c r="A415" s="50" t="s">
        <v>357</v>
      </c>
      <c r="B415" s="24"/>
      <c r="C415" s="119">
        <f t="shared" si="23"/>
        <v>0</v>
      </c>
    </row>
    <row r="416" spans="1:3" ht="12.75">
      <c r="A416" s="50" t="s">
        <v>358</v>
      </c>
      <c r="B416" s="24"/>
      <c r="C416" s="119">
        <f t="shared" si="23"/>
        <v>0</v>
      </c>
    </row>
    <row r="417" spans="1:3" ht="28.5" customHeight="1">
      <c r="A417" s="50" t="s">
        <v>359</v>
      </c>
      <c r="B417" s="24"/>
      <c r="C417" s="119">
        <f t="shared" si="23"/>
        <v>0</v>
      </c>
    </row>
    <row r="418" spans="1:3" ht="27.75" customHeight="1">
      <c r="A418" s="50" t="s">
        <v>360</v>
      </c>
      <c r="B418" s="24"/>
      <c r="C418" s="119">
        <f t="shared" si="23"/>
        <v>0</v>
      </c>
    </row>
    <row r="419" spans="1:3" ht="70.5" customHeight="1">
      <c r="A419" s="133" t="s">
        <v>361</v>
      </c>
      <c r="B419" s="24"/>
      <c r="C419" s="119">
        <f t="shared" si="23"/>
        <v>0</v>
      </c>
    </row>
    <row r="420" spans="1:3" ht="30.75" customHeight="1">
      <c r="A420" s="133" t="s">
        <v>362</v>
      </c>
      <c r="B420" s="24"/>
      <c r="C420" s="119">
        <f t="shared" si="23"/>
        <v>0</v>
      </c>
    </row>
    <row r="421" spans="1:3" ht="21" customHeight="1">
      <c r="A421" s="133" t="s">
        <v>363</v>
      </c>
      <c r="B421" s="24"/>
      <c r="C421" s="119">
        <f t="shared" si="23"/>
        <v>0</v>
      </c>
    </row>
    <row r="422" spans="1:3" ht="12.75">
      <c r="A422" s="125" t="s">
        <v>94</v>
      </c>
      <c r="B422" s="117"/>
      <c r="C422" s="119">
        <f>SUM(C404:C421)</f>
        <v>0</v>
      </c>
    </row>
    <row r="423" spans="1:2" ht="13.5" thickBot="1">
      <c r="A423" s="154" t="s">
        <v>66</v>
      </c>
      <c r="B423" s="155">
        <f>C341+C362+C371+C385+C401+C422</f>
        <v>0</v>
      </c>
    </row>
    <row r="424" spans="1:2" ht="13.5" thickBot="1">
      <c r="A424" s="156" t="s">
        <v>67</v>
      </c>
      <c r="B424" s="157">
        <f>B423+B128+B214+B277+B323</f>
        <v>0</v>
      </c>
    </row>
    <row r="425" ht="12.75">
      <c r="B425" s="111"/>
    </row>
    <row r="426" spans="1:2" ht="12.75">
      <c r="A426" s="45" t="s">
        <v>38</v>
      </c>
      <c r="B426" s="111"/>
    </row>
    <row r="427" spans="1:2" ht="12.75">
      <c r="A427" s="158"/>
      <c r="B427" s="111"/>
    </row>
    <row r="428" spans="1:2" ht="12.75">
      <c r="A428" s="159" t="s">
        <v>39</v>
      </c>
      <c r="B428" s="111"/>
    </row>
    <row r="429" spans="1:2" ht="12.75">
      <c r="A429" s="158"/>
      <c r="B429" s="111"/>
    </row>
    <row r="430" spans="1:2" ht="12.75">
      <c r="A430" s="159" t="s">
        <v>371</v>
      </c>
      <c r="B430" s="111"/>
    </row>
    <row r="431" spans="1:2" ht="12.75">
      <c r="A431" s="160"/>
      <c r="B431" s="111"/>
    </row>
    <row r="432" ht="12.75">
      <c r="B432" s="111"/>
    </row>
  </sheetData>
  <sheetProtection password="DF15" sheet="1" scenarios="1"/>
  <mergeCells count="3">
    <mergeCell ref="A1:C1"/>
    <mergeCell ref="B350:B357"/>
    <mergeCell ref="C350:C357"/>
  </mergeCells>
  <conditionalFormatting sqref="A25 A38 A49 A76 A144 A159 A171 A230 A248">
    <cfRule type="cellIs" priority="1" dxfId="0" operator="notEqual" stopIfTrue="1">
      <formula>"."</formula>
    </cfRule>
  </conditionalFormatting>
  <conditionalFormatting sqref="C12:C24 C28:C37 C42:C48 C68:C75 C79:C91 C94:C98 C101:C107 C110:C117 C119 C121 C123:C127 C134:C142 C374:C385 C162:C170 C174:C213 C147:C157 C233:C247 C292 C266:C275 C220:C228 C296:C308 C312:C320 C329:C341 C345:C350 C358:C362 C365:C371 C251:C262 C389:C401 C282:C290 C404:C421">
    <cfRule type="cellIs" priority="2" dxfId="1" operator="between" stopIfTrue="1">
      <formula>0</formula>
      <formula>0.1</formula>
    </cfRule>
  </conditionalFormatting>
  <conditionalFormatting sqref="A1:C1 B2:B65536">
    <cfRule type="cellIs" priority="3" dxfId="2" operator="equal" stopIfTrue="1">
      <formula>"s"</formula>
    </cfRule>
    <cfRule type="cellIs" priority="4" dxfId="2" operator="equal" stopIfTrue="1">
      <formula>"n"</formula>
    </cfRule>
  </conditionalFormatting>
  <printOptions horizontalCentered="1" verticalCentered="1"/>
  <pageMargins left="0.75" right="0.75" top="1"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Hoja4"/>
  <dimension ref="A1:H54"/>
  <sheetViews>
    <sheetView showGridLines="0" showRowColHeaders="0" workbookViewId="0" topLeftCell="A33">
      <selection activeCell="C8" sqref="C8:H8"/>
    </sheetView>
  </sheetViews>
  <sheetFormatPr defaultColWidth="11.421875" defaultRowHeight="12.75"/>
  <cols>
    <col min="1" max="1" width="1.1484375" style="25" customWidth="1"/>
    <col min="2" max="2" width="33.421875" style="52" customWidth="1"/>
    <col min="3" max="3" width="6.421875" style="25" customWidth="1"/>
    <col min="4" max="4" width="4.28125" style="25" customWidth="1"/>
    <col min="5" max="6" width="11.421875" style="25" customWidth="1"/>
    <col min="7" max="7" width="14.00390625" style="25" customWidth="1"/>
    <col min="8" max="8" width="5.00390625" style="25" customWidth="1"/>
    <col min="9" max="16384" width="11.421875" style="25" customWidth="1"/>
  </cols>
  <sheetData>
    <row r="1" spans="1:8" ht="41.25" customHeight="1">
      <c r="A1" s="199" t="s">
        <v>77</v>
      </c>
      <c r="B1" s="200"/>
      <c r="C1" s="200"/>
      <c r="D1" s="200"/>
      <c r="E1" s="200"/>
      <c r="F1" s="200"/>
      <c r="G1" s="200"/>
      <c r="H1" s="200"/>
    </row>
    <row r="2" spans="1:8" ht="6" customHeight="1">
      <c r="A2" s="26"/>
      <c r="B2" s="45"/>
      <c r="C2" s="26"/>
      <c r="D2" s="27"/>
      <c r="E2" s="28"/>
      <c r="F2" s="29"/>
      <c r="G2" s="26"/>
      <c r="H2" s="26"/>
    </row>
    <row r="3" spans="1:8" ht="12.75">
      <c r="A3" s="26"/>
      <c r="B3" s="194" t="s">
        <v>209</v>
      </c>
      <c r="C3" s="195"/>
      <c r="D3" s="195"/>
      <c r="E3" s="195"/>
      <c r="F3" s="195"/>
      <c r="G3" s="195"/>
      <c r="H3" s="26"/>
    </row>
    <row r="4" spans="1:8" ht="12.75">
      <c r="A4" s="26"/>
      <c r="B4" s="196" t="s">
        <v>98</v>
      </c>
      <c r="C4" s="195"/>
      <c r="D4" s="195"/>
      <c r="E4" s="195"/>
      <c r="F4" s="195"/>
      <c r="G4" s="195"/>
      <c r="H4" s="26"/>
    </row>
    <row r="5" spans="1:8" ht="5.25" customHeight="1">
      <c r="A5" s="26"/>
      <c r="B5" s="45"/>
      <c r="C5" s="26"/>
      <c r="D5" s="26"/>
      <c r="E5" s="28"/>
      <c r="F5" s="29"/>
      <c r="G5" s="26"/>
      <c r="H5" s="26"/>
    </row>
    <row r="6" spans="1:8" ht="18.75" customHeight="1">
      <c r="A6" s="26"/>
      <c r="B6" s="197" t="s">
        <v>211</v>
      </c>
      <c r="C6" s="168"/>
      <c r="D6" s="168"/>
      <c r="E6" s="168"/>
      <c r="F6" s="168"/>
      <c r="G6" s="26"/>
      <c r="H6" s="26"/>
    </row>
    <row r="7" spans="1:8" ht="12.75">
      <c r="A7" s="26"/>
      <c r="B7" s="46"/>
      <c r="C7" s="31"/>
      <c r="D7" s="31"/>
      <c r="E7" s="32" t="s">
        <v>371</v>
      </c>
      <c r="F7" s="33">
        <f>'Ingreso de datos'!A431</f>
        <v>0</v>
      </c>
      <c r="G7" s="31"/>
      <c r="H7" s="34"/>
    </row>
    <row r="8" spans="1:8" ht="12.75">
      <c r="A8" s="26"/>
      <c r="B8" s="47" t="s">
        <v>39</v>
      </c>
      <c r="C8" s="191">
        <f>'Ingreso de datos'!A429</f>
        <v>0</v>
      </c>
      <c r="D8" s="192"/>
      <c r="E8" s="192"/>
      <c r="F8" s="192"/>
      <c r="G8" s="192"/>
      <c r="H8" s="193"/>
    </row>
    <row r="9" spans="1:8" ht="12.75">
      <c r="A9" s="26"/>
      <c r="B9" s="48" t="s">
        <v>370</v>
      </c>
      <c r="C9" s="191">
        <f>'Ingreso de datos'!A427</f>
        <v>0</v>
      </c>
      <c r="D9" s="192"/>
      <c r="E9" s="192"/>
      <c r="F9" s="192"/>
      <c r="G9" s="192"/>
      <c r="H9" s="193"/>
    </row>
    <row r="10" spans="1:8" ht="8.25" customHeight="1">
      <c r="A10" s="26"/>
      <c r="B10" s="45"/>
      <c r="C10" s="26"/>
      <c r="D10" s="26"/>
      <c r="E10" s="37"/>
      <c r="F10" s="29"/>
      <c r="G10" s="26"/>
      <c r="H10" s="26"/>
    </row>
    <row r="11" spans="1:8" ht="33.75" customHeight="1">
      <c r="A11" s="26"/>
      <c r="B11" s="38" t="s">
        <v>175</v>
      </c>
      <c r="C11" s="161">
        <f>('Ingreso de datos'!B424)/280*100</f>
        <v>0</v>
      </c>
      <c r="D11" s="39" t="s">
        <v>388</v>
      </c>
      <c r="E11" s="37"/>
      <c r="F11" s="29"/>
      <c r="G11" s="26"/>
      <c r="H11" s="26"/>
    </row>
    <row r="12" spans="1:8" ht="7.5" customHeight="1">
      <c r="A12" s="26"/>
      <c r="B12" s="45"/>
      <c r="C12" s="40"/>
      <c r="D12" s="26"/>
      <c r="E12" s="37"/>
      <c r="F12" s="29"/>
      <c r="G12" s="26"/>
      <c r="H12" s="26"/>
    </row>
    <row r="13" spans="1:8" ht="6.75" customHeight="1">
      <c r="A13" s="26"/>
      <c r="B13" s="45"/>
      <c r="C13" s="40"/>
      <c r="D13" s="26"/>
      <c r="E13" s="37"/>
      <c r="F13" s="29"/>
      <c r="G13" s="26"/>
      <c r="H13" s="26"/>
    </row>
    <row r="14" spans="1:8" ht="12.75">
      <c r="A14" s="26"/>
      <c r="B14" s="49" t="s">
        <v>372</v>
      </c>
      <c r="C14" s="41">
        <f>('Ingreso de datos'!B128)/73*100</f>
        <v>0</v>
      </c>
      <c r="D14" s="42" t="s">
        <v>388</v>
      </c>
      <c r="E14" s="37"/>
      <c r="F14" s="29"/>
      <c r="G14" s="26"/>
      <c r="H14" s="26"/>
    </row>
    <row r="15" spans="1:8" ht="12.75">
      <c r="A15" s="26"/>
      <c r="B15" s="50"/>
      <c r="C15" s="41"/>
      <c r="D15" s="42"/>
      <c r="E15" s="37"/>
      <c r="F15" s="29"/>
      <c r="G15" s="26"/>
      <c r="H15" s="26"/>
    </row>
    <row r="16" spans="1:8" ht="12.75">
      <c r="A16" s="26"/>
      <c r="B16" s="50" t="s">
        <v>373</v>
      </c>
      <c r="C16" s="41">
        <f>('Ingreso de datos'!C24)/12*100</f>
        <v>0</v>
      </c>
      <c r="D16" s="42" t="s">
        <v>388</v>
      </c>
      <c r="E16" s="167" t="str">
        <f>IF('Ingreso de datos'!A25=".","","Recursos limitantes no cumplidos, ver informe")</f>
        <v>Recursos limitantes no cumplidos, ver informe</v>
      </c>
      <c r="F16" s="198"/>
      <c r="G16" s="198"/>
      <c r="H16" s="198"/>
    </row>
    <row r="17" spans="1:8" ht="30" customHeight="1">
      <c r="A17" s="26"/>
      <c r="B17" s="50" t="s">
        <v>374</v>
      </c>
      <c r="C17" s="41">
        <f>('Ingreso de datos'!C37)/9*100</f>
        <v>0</v>
      </c>
      <c r="D17" s="42" t="s">
        <v>388</v>
      </c>
      <c r="E17" s="167" t="str">
        <f>IF('Ingreso de datos'!A38=".","","Recursos limitantes no cumplidos, ver informe")</f>
        <v>Recursos limitantes no cumplidos, ver informe</v>
      </c>
      <c r="F17" s="198"/>
      <c r="G17" s="198"/>
      <c r="H17" s="198"/>
    </row>
    <row r="18" spans="1:8" ht="12.75">
      <c r="A18" s="26"/>
      <c r="B18" s="50" t="s">
        <v>375</v>
      </c>
      <c r="C18" s="41">
        <f>('Ingreso de datos'!C48)/6*100</f>
        <v>0</v>
      </c>
      <c r="D18" s="42" t="s">
        <v>388</v>
      </c>
      <c r="E18" s="167" t="str">
        <f>IF('Ingreso de datos'!A49=".","","Recursos limitantes no cumplidos, ver informe")</f>
        <v>Recursos limitantes no cumplidos, ver informe</v>
      </c>
      <c r="F18" s="198"/>
      <c r="G18" s="198"/>
      <c r="H18" s="198"/>
    </row>
    <row r="19" spans="1:8" ht="25.5">
      <c r="A19" s="26"/>
      <c r="B19" s="50" t="s">
        <v>376</v>
      </c>
      <c r="C19" s="41">
        <f>('Ingreso de datos'!C127)/46*100</f>
        <v>0</v>
      </c>
      <c r="D19" s="42" t="s">
        <v>388</v>
      </c>
      <c r="E19" s="167" t="str">
        <f>IF('Ingreso de datos'!A76=".","","Recursos limitantes no cumplidos, ver informe")</f>
        <v>Recursos limitantes no cumplidos, ver informe</v>
      </c>
      <c r="F19" s="198"/>
      <c r="G19" s="198"/>
      <c r="H19" s="198"/>
    </row>
    <row r="20" spans="1:8" ht="6.75" customHeight="1">
      <c r="A20" s="26"/>
      <c r="B20" s="45"/>
      <c r="C20" s="26"/>
      <c r="D20" s="26"/>
      <c r="E20" s="53"/>
      <c r="F20" s="54"/>
      <c r="G20" s="55"/>
      <c r="H20" s="55"/>
    </row>
    <row r="21" spans="1:8" ht="3" customHeight="1">
      <c r="A21" s="26"/>
      <c r="B21" s="45"/>
      <c r="C21" s="26"/>
      <c r="D21" s="26"/>
      <c r="E21" s="53"/>
      <c r="F21" s="54"/>
      <c r="G21" s="55"/>
      <c r="H21" s="55"/>
    </row>
    <row r="22" spans="1:8" ht="12.75">
      <c r="A22" s="26"/>
      <c r="B22" s="49" t="s">
        <v>380</v>
      </c>
      <c r="C22" s="41">
        <f>('Ingreso de datos'!B214)/66*100</f>
        <v>0</v>
      </c>
      <c r="D22" s="42" t="s">
        <v>388</v>
      </c>
      <c r="E22" s="53"/>
      <c r="F22" s="54"/>
      <c r="G22" s="55"/>
      <c r="H22" s="55"/>
    </row>
    <row r="23" spans="1:8" ht="12.75">
      <c r="A23" s="26"/>
      <c r="B23" s="50"/>
      <c r="C23" s="42"/>
      <c r="D23" s="42"/>
      <c r="E23" s="53"/>
      <c r="F23" s="54"/>
      <c r="G23" s="55"/>
      <c r="H23" s="55"/>
    </row>
    <row r="24" spans="1:8" ht="12.75">
      <c r="A24" s="26"/>
      <c r="B24" s="50" t="s">
        <v>373</v>
      </c>
      <c r="C24" s="41">
        <f>('Ingreso de datos'!C142)/8*100</f>
        <v>0</v>
      </c>
      <c r="D24" s="42" t="s">
        <v>388</v>
      </c>
      <c r="E24" s="167" t="str">
        <f>IF('Ingreso de datos'!A144=".","","Recursos limitantes no cumplidos, ver informe")</f>
        <v>Recursos limitantes no cumplidos, ver informe</v>
      </c>
      <c r="F24" s="198"/>
      <c r="G24" s="198"/>
      <c r="H24" s="198"/>
    </row>
    <row r="25" spans="1:8" ht="25.5">
      <c r="A25" s="26"/>
      <c r="B25" s="50" t="s">
        <v>381</v>
      </c>
      <c r="C25" s="41">
        <f>('Ingreso de datos'!C158)/11*100</f>
        <v>0</v>
      </c>
      <c r="D25" s="42" t="s">
        <v>388</v>
      </c>
      <c r="E25" s="167" t="str">
        <f>IF('Ingreso de datos'!A159=".","","Recursos limitantes no cumplidos, ver informe")</f>
        <v>Recursos limitantes no cumplidos, ver informe</v>
      </c>
      <c r="F25" s="198"/>
      <c r="G25" s="198"/>
      <c r="H25" s="198"/>
    </row>
    <row r="26" spans="1:8" ht="12.75">
      <c r="A26" s="26"/>
      <c r="B26" s="50" t="s">
        <v>375</v>
      </c>
      <c r="C26" s="41">
        <f>('Ingreso de datos'!C170)/8*100</f>
        <v>0</v>
      </c>
      <c r="D26" s="42" t="s">
        <v>388</v>
      </c>
      <c r="E26" s="167" t="str">
        <f>IF('Ingreso de datos'!A171=".","","Recursos limitantes no cumplidos, ver informe")</f>
        <v>Recursos limitantes no cumplidos, ver informe</v>
      </c>
      <c r="F26" s="198"/>
      <c r="G26" s="198"/>
      <c r="H26" s="198"/>
    </row>
    <row r="27" spans="1:8" ht="25.5">
      <c r="A27" s="26"/>
      <c r="B27" s="50" t="s">
        <v>376</v>
      </c>
      <c r="C27" s="41">
        <f>('Ingreso de datos'!C213)/39*100</f>
        <v>0</v>
      </c>
      <c r="D27" s="42" t="s">
        <v>388</v>
      </c>
      <c r="E27" s="53"/>
      <c r="F27" s="54"/>
      <c r="G27" s="55"/>
      <c r="H27" s="55"/>
    </row>
    <row r="28" spans="1:8" ht="6" customHeight="1">
      <c r="A28" s="26"/>
      <c r="B28" s="45"/>
      <c r="C28" s="26"/>
      <c r="D28" s="26"/>
      <c r="E28" s="53"/>
      <c r="F28" s="54"/>
      <c r="G28" s="55"/>
      <c r="H28" s="55"/>
    </row>
    <row r="29" spans="1:8" ht="4.5" customHeight="1">
      <c r="A29" s="26"/>
      <c r="B29" s="45"/>
      <c r="C29" s="26"/>
      <c r="D29" s="26"/>
      <c r="E29" s="53"/>
      <c r="F29" s="54"/>
      <c r="G29" s="55"/>
      <c r="H29" s="55"/>
    </row>
    <row r="30" spans="1:8" ht="12.75">
      <c r="A30" s="26"/>
      <c r="B30" s="49" t="s">
        <v>377</v>
      </c>
      <c r="C30" s="41">
        <f>('Ingreso de datos'!B277)/43*100</f>
        <v>0</v>
      </c>
      <c r="D30" s="42" t="s">
        <v>388</v>
      </c>
      <c r="E30" s="56"/>
      <c r="F30" s="57"/>
      <c r="G30" s="58"/>
      <c r="H30" s="55"/>
    </row>
    <row r="31" spans="1:8" ht="12.75">
      <c r="A31" s="26"/>
      <c r="B31" s="50"/>
      <c r="C31" s="41"/>
      <c r="D31" s="42"/>
      <c r="E31" s="56"/>
      <c r="F31" s="57"/>
      <c r="G31" s="58"/>
      <c r="H31" s="55"/>
    </row>
    <row r="32" spans="1:8" ht="12.75">
      <c r="A32" s="26"/>
      <c r="B32" s="50" t="s">
        <v>373</v>
      </c>
      <c r="C32" s="41">
        <f>('Ingreso de datos'!C229)/9*100</f>
        <v>0</v>
      </c>
      <c r="D32" s="42" t="s">
        <v>388</v>
      </c>
      <c r="E32" s="167" t="str">
        <f>IF('Ingreso de datos'!A230=".","","Recursos limitantes no cumplidos, ver informe")</f>
        <v>Recursos limitantes no cumplidos, ver informe</v>
      </c>
      <c r="F32" s="198"/>
      <c r="G32" s="198"/>
      <c r="H32" s="198"/>
    </row>
    <row r="33" spans="1:8" ht="12.75">
      <c r="A33" s="26"/>
      <c r="B33" s="50" t="s">
        <v>379</v>
      </c>
      <c r="C33" s="41">
        <f>('Ingreso de datos'!C262)/11*100</f>
        <v>0</v>
      </c>
      <c r="D33" s="42" t="s">
        <v>388</v>
      </c>
      <c r="E33" s="53"/>
      <c r="F33" s="54"/>
      <c r="G33" s="55"/>
      <c r="H33" s="55"/>
    </row>
    <row r="34" spans="1:8" ht="12.75">
      <c r="A34" s="26"/>
      <c r="B34" s="50" t="s">
        <v>378</v>
      </c>
      <c r="C34" s="43">
        <f>('Ingreso de datos'!C247)/14*100</f>
        <v>0</v>
      </c>
      <c r="D34" s="42" t="s">
        <v>388</v>
      </c>
      <c r="E34" s="167" t="str">
        <f>IF('Ingreso de datos'!A248=".","","Recursos limitantes no cumplidos, ver informe")</f>
        <v>Recursos limitantes no cumplidos, ver informe</v>
      </c>
      <c r="F34" s="198"/>
      <c r="G34" s="198"/>
      <c r="H34" s="198"/>
    </row>
    <row r="35" spans="1:8" ht="12.75">
      <c r="A35" s="26"/>
      <c r="B35" s="50" t="s">
        <v>45</v>
      </c>
      <c r="C35" s="43">
        <f>('Ingreso de datos'!C275)/9*100</f>
        <v>0</v>
      </c>
      <c r="D35" s="42" t="s">
        <v>388</v>
      </c>
      <c r="E35" s="53"/>
      <c r="F35" s="54"/>
      <c r="G35" s="55"/>
      <c r="H35" s="55"/>
    </row>
    <row r="36" spans="1:8" ht="8.25" customHeight="1">
      <c r="A36" s="26"/>
      <c r="B36" s="45"/>
      <c r="C36" s="26"/>
      <c r="D36" s="26"/>
      <c r="E36" s="53"/>
      <c r="F36" s="54"/>
      <c r="G36" s="55"/>
      <c r="H36" s="55"/>
    </row>
    <row r="37" spans="1:8" ht="3.75" customHeight="1">
      <c r="A37" s="26"/>
      <c r="B37" s="45"/>
      <c r="C37" s="26"/>
      <c r="D37" s="26"/>
      <c r="E37" s="53"/>
      <c r="F37" s="54"/>
      <c r="G37" s="55"/>
      <c r="H37" s="55"/>
    </row>
    <row r="38" spans="1:8" ht="12.75">
      <c r="A38" s="26"/>
      <c r="B38" s="49" t="s">
        <v>382</v>
      </c>
      <c r="C38" s="41">
        <f>('Ingreso de datos'!B323)/29*100</f>
        <v>0</v>
      </c>
      <c r="D38" s="42" t="s">
        <v>388</v>
      </c>
      <c r="E38" s="56"/>
      <c r="F38" s="57"/>
      <c r="G38" s="58"/>
      <c r="H38" s="55"/>
    </row>
    <row r="39" spans="1:8" ht="12.75" customHeight="1">
      <c r="A39" s="26"/>
      <c r="B39" s="50"/>
      <c r="C39" s="42"/>
      <c r="D39" s="42"/>
      <c r="E39" s="56"/>
      <c r="F39" s="57"/>
      <c r="G39" s="58"/>
      <c r="H39" s="55"/>
    </row>
    <row r="40" spans="1:8" ht="12.75">
      <c r="A40" s="26"/>
      <c r="B40" s="50" t="s">
        <v>383</v>
      </c>
      <c r="C40" s="41">
        <f>('Ingreso de datos'!C292)/9*100</f>
        <v>0</v>
      </c>
      <c r="D40" s="42" t="s">
        <v>388</v>
      </c>
      <c r="E40" s="53"/>
      <c r="F40" s="57"/>
      <c r="G40" s="58"/>
      <c r="H40" s="55"/>
    </row>
    <row r="41" spans="1:8" ht="12.75">
      <c r="A41" s="26"/>
      <c r="B41" s="50" t="s">
        <v>384</v>
      </c>
      <c r="C41" s="41">
        <f>('Ingreso de datos'!C308)/12*100</f>
        <v>0</v>
      </c>
      <c r="D41" s="42" t="s">
        <v>388</v>
      </c>
      <c r="E41" s="53"/>
      <c r="F41" s="57"/>
      <c r="G41" s="58"/>
      <c r="H41" s="55"/>
    </row>
    <row r="42" spans="1:8" ht="12.75">
      <c r="A42" s="26"/>
      <c r="B42" s="50" t="s">
        <v>385</v>
      </c>
      <c r="C42" s="43">
        <f>('Ingreso de datos'!C320)/8*100</f>
        <v>0</v>
      </c>
      <c r="D42" s="42" t="s">
        <v>388</v>
      </c>
      <c r="E42" s="53"/>
      <c r="F42" s="57"/>
      <c r="G42" s="58"/>
      <c r="H42" s="55"/>
    </row>
    <row r="43" spans="1:8" ht="6" customHeight="1">
      <c r="A43" s="26"/>
      <c r="B43" s="45"/>
      <c r="C43" s="26"/>
      <c r="D43" s="26"/>
      <c r="E43" s="53"/>
      <c r="F43" s="59"/>
      <c r="G43" s="54"/>
      <c r="H43" s="55"/>
    </row>
    <row r="44" spans="1:8" ht="6" customHeight="1">
      <c r="A44" s="26"/>
      <c r="B44" s="45"/>
      <c r="C44" s="26"/>
      <c r="D44" s="26"/>
      <c r="E44" s="53"/>
      <c r="F44" s="59"/>
      <c r="G44" s="54"/>
      <c r="H44" s="55"/>
    </row>
    <row r="45" spans="1:8" ht="25.5">
      <c r="A45" s="26"/>
      <c r="B45" s="49" t="s">
        <v>386</v>
      </c>
      <c r="C45" s="41">
        <f>('Ingreso de datos'!B423)/69*100</f>
        <v>0</v>
      </c>
      <c r="D45" s="42" t="s">
        <v>388</v>
      </c>
      <c r="E45" s="53"/>
      <c r="F45" s="59"/>
      <c r="G45" s="54"/>
      <c r="H45" s="55"/>
    </row>
    <row r="46" spans="1:8" ht="11.25" customHeight="1">
      <c r="A46" s="26"/>
      <c r="B46" s="50"/>
      <c r="C46" s="41"/>
      <c r="D46" s="42"/>
      <c r="E46" s="53"/>
      <c r="F46" s="54"/>
      <c r="G46" s="55"/>
      <c r="H46" s="55"/>
    </row>
    <row r="47" spans="1:8" ht="12.75">
      <c r="A47" s="26"/>
      <c r="B47" s="50" t="s">
        <v>373</v>
      </c>
      <c r="C47" s="41">
        <f>('Ingreso de datos'!B386)/39*100</f>
        <v>0</v>
      </c>
      <c r="D47" s="42" t="s">
        <v>388</v>
      </c>
      <c r="E47" s="53"/>
      <c r="F47" s="54"/>
      <c r="G47" s="55"/>
      <c r="H47" s="55"/>
    </row>
    <row r="48" spans="1:8" ht="25.5">
      <c r="A48" s="26"/>
      <c r="B48" s="44" t="s">
        <v>387</v>
      </c>
      <c r="C48" s="41">
        <f>('Ingreso de datos'!C401)/12*100</f>
        <v>0</v>
      </c>
      <c r="D48" s="42" t="s">
        <v>388</v>
      </c>
      <c r="E48" s="53"/>
      <c r="F48" s="54"/>
      <c r="G48" s="55"/>
      <c r="H48" s="55"/>
    </row>
    <row r="49" spans="1:8" ht="25.5">
      <c r="A49" s="26"/>
      <c r="B49" s="50" t="s">
        <v>376</v>
      </c>
      <c r="C49" s="41">
        <f>('Ingreso de datos'!C422)/18*100</f>
        <v>0</v>
      </c>
      <c r="D49" s="42" t="s">
        <v>388</v>
      </c>
      <c r="E49" s="37"/>
      <c r="F49" s="29"/>
      <c r="G49" s="26"/>
      <c r="H49" s="26"/>
    </row>
    <row r="50" spans="1:8" ht="12.75">
      <c r="A50" s="26"/>
      <c r="B50" s="45"/>
      <c r="C50" s="26"/>
      <c r="D50" s="26"/>
      <c r="E50" s="37"/>
      <c r="F50" s="29"/>
      <c r="G50" s="26"/>
      <c r="H50" s="26"/>
    </row>
    <row r="51" spans="1:8" ht="12.75">
      <c r="A51" s="26"/>
      <c r="B51" s="45"/>
      <c r="C51" s="26"/>
      <c r="D51" s="26"/>
      <c r="E51" s="37"/>
      <c r="F51" s="29"/>
      <c r="G51" s="26"/>
      <c r="H51" s="26"/>
    </row>
    <row r="52" spans="1:8" ht="12.75">
      <c r="A52" s="26"/>
      <c r="B52" s="51"/>
      <c r="C52" s="29"/>
      <c r="D52" s="26"/>
      <c r="E52" s="26"/>
      <c r="F52" s="26"/>
      <c r="G52" s="26"/>
      <c r="H52" s="26"/>
    </row>
    <row r="53" spans="1:8" ht="12.75">
      <c r="A53" s="26"/>
      <c r="B53" s="51"/>
      <c r="C53" s="29"/>
      <c r="D53" s="26"/>
      <c r="E53" s="26"/>
      <c r="F53" s="26"/>
      <c r="G53" s="26"/>
      <c r="H53" s="26"/>
    </row>
    <row r="54" spans="1:8" ht="12.75">
      <c r="A54" s="26"/>
      <c r="B54" s="51"/>
      <c r="C54" s="29"/>
      <c r="D54" s="26"/>
      <c r="E54" s="26"/>
      <c r="F54" s="26"/>
      <c r="G54" s="26"/>
      <c r="H54" s="26"/>
    </row>
  </sheetData>
  <sheetProtection password="DF15" sheet="1" objects="1" scenarios="1"/>
  <mergeCells count="15">
    <mergeCell ref="E32:H32"/>
    <mergeCell ref="E34:H34"/>
    <mergeCell ref="A1:H1"/>
    <mergeCell ref="E19:H19"/>
    <mergeCell ref="E24:H24"/>
    <mergeCell ref="E25:H25"/>
    <mergeCell ref="E26:H26"/>
    <mergeCell ref="E16:H16"/>
    <mergeCell ref="E17:H17"/>
    <mergeCell ref="E18:H18"/>
    <mergeCell ref="C9:H9"/>
    <mergeCell ref="B3:G3"/>
    <mergeCell ref="B4:G4"/>
    <mergeCell ref="B6:F6"/>
    <mergeCell ref="C8:H8"/>
  </mergeCells>
  <printOptions horizontalCentered="1" verticalCentered="1"/>
  <pageMargins left="0.75" right="0.75" top="1" bottom="1" header="0" footer="0"/>
  <pageSetup horizontalDpi="300" verticalDpi="3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Hoja5"/>
  <dimension ref="A1:E145"/>
  <sheetViews>
    <sheetView showGridLines="0" showRowColHeaders="0" zoomScaleSheetLayoutView="100" workbookViewId="0" topLeftCell="A12">
      <selection activeCell="A1" sqref="A1:B1"/>
    </sheetView>
  </sheetViews>
  <sheetFormatPr defaultColWidth="11.421875" defaultRowHeight="12.75"/>
  <cols>
    <col min="1" max="1" width="42.7109375" style="52" customWidth="1"/>
    <col min="2" max="2" width="64.00390625" style="52" customWidth="1"/>
    <col min="3" max="16384" width="11.421875" style="52" customWidth="1"/>
  </cols>
  <sheetData>
    <row r="1" spans="1:2" ht="48.75" customHeight="1">
      <c r="A1" s="199" t="s">
        <v>40</v>
      </c>
      <c r="B1" s="199"/>
    </row>
    <row r="2" ht="11.25" customHeight="1"/>
    <row r="3" spans="1:2" ht="16.5" customHeight="1">
      <c r="A3" s="201" t="s">
        <v>77</v>
      </c>
      <c r="B3" s="202"/>
    </row>
    <row r="4" spans="1:2" ht="6.75" customHeight="1">
      <c r="A4" s="45"/>
      <c r="B4" s="45"/>
    </row>
    <row r="5" spans="1:2" ht="12.75">
      <c r="A5" s="194" t="s">
        <v>209</v>
      </c>
      <c r="B5" s="203"/>
    </row>
    <row r="6" spans="1:2" ht="12.75">
      <c r="A6" s="196" t="s">
        <v>98</v>
      </c>
      <c r="B6" s="203"/>
    </row>
    <row r="7" spans="1:2" ht="18.75" customHeight="1">
      <c r="A7" s="45"/>
      <c r="B7" s="45"/>
    </row>
    <row r="8" spans="1:2" ht="23.25" customHeight="1">
      <c r="A8" s="64" t="s">
        <v>371</v>
      </c>
      <c r="B8" s="65">
        <f>'Ingreso de datos'!A431</f>
        <v>0</v>
      </c>
    </row>
    <row r="9" spans="1:5" s="62" customFormat="1" ht="22.5" customHeight="1">
      <c r="A9" s="66" t="s">
        <v>39</v>
      </c>
      <c r="B9" s="67">
        <f>Informe!C8</f>
        <v>0</v>
      </c>
      <c r="C9" s="52"/>
      <c r="D9" s="60"/>
      <c r="E9" s="61"/>
    </row>
    <row r="10" spans="1:5" s="62" customFormat="1" ht="17.25" customHeight="1">
      <c r="A10" s="66" t="s">
        <v>370</v>
      </c>
      <c r="B10" s="67">
        <f>Informe!C9</f>
        <v>0</v>
      </c>
      <c r="C10" s="52"/>
      <c r="D10" s="60"/>
      <c r="E10" s="61"/>
    </row>
    <row r="11" spans="1:2" ht="23.25" customHeight="1">
      <c r="A11" s="45"/>
      <c r="B11" s="45"/>
    </row>
    <row r="12" spans="1:2" ht="17.25" customHeight="1">
      <c r="A12" s="63" t="str">
        <f>Informe!B14</f>
        <v>Planta física:</v>
      </c>
      <c r="B12" s="45" t="str">
        <f>IF('Ingreso de datos'!A25=".","","Recursos limitantes no cumplidos")</f>
        <v>Recursos limitantes no cumplidos</v>
      </c>
    </row>
    <row r="13" spans="1:2" ht="30" customHeight="1">
      <c r="A13" s="50" t="str">
        <f>IF(B13="","",Informe!B16)</f>
        <v>Requisitos comunes:</v>
      </c>
      <c r="B13" s="50" t="str">
        <f>IF('Ingreso de datos'!C20=0,'Ingreso de datos'!A20,"")</f>
        <v>9. Existe una salida de emergencia que permite la fácil evacuación de las tres Zonas</v>
      </c>
    </row>
    <row r="14" spans="1:2" ht="26.25" customHeight="1">
      <c r="A14" s="50" t="str">
        <f>IF(B14="","",Informe!B16)</f>
        <v>Requisitos comunes:</v>
      </c>
      <c r="B14" s="50" t="str">
        <f>IF('Ingreso de datos'!C21=0,'Ingreso de datos'!A21,"")</f>
        <v>10. Existe equipo antiincendio reglamentario en las tres Zonas.</v>
      </c>
    </row>
    <row r="15" spans="1:2" ht="51.75" customHeight="1">
      <c r="A15" s="50" t="str">
        <f>IF(B15="","",Informe!B16)</f>
        <v>Requisitos comunes:</v>
      </c>
      <c r="B15" s="50" t="str">
        <f>IF('Ingreso de datos'!C23=0,'Ingreso de datos'!A23,"")</f>
        <v>12. Cada una de las tres Zonas tiene comodidades para el lavado de manos</v>
      </c>
    </row>
    <row r="16" spans="1:2" ht="52.5" customHeight="1">
      <c r="A16" s="50" t="str">
        <f>IF(B16="","",Informe!B17)</f>
        <v>Zona de atención del RN en Sala de Partos:</v>
      </c>
      <c r="B16" s="50" t="str">
        <f>IF('Ingreso de datos'!C28=0,'Ingreso de datos'!A28,"")</f>
        <v>13. Existe en el área de Sala de Partos y/o Quirófanos un sector ubicado fuera de las mismas destinado exclusivamente a la recepción y Reanimación del RN con una superficie no inferior a 6 m2</v>
      </c>
    </row>
    <row r="17" spans="1:2" ht="49.5" customHeight="1">
      <c r="A17" s="50" t="str">
        <f>IF(B17="","",Informe!B17)</f>
        <v>Zona de atención del RN en Sala de Partos:</v>
      </c>
      <c r="B17" s="50" t="str">
        <f>IF('Ingreso de datos'!C32=0,'Ingreso de datos'!A32,"")</f>
        <v>17. Cuenta con mesa o Servocuna de reanimación acolchada lavable, para examen y tratamiento de 2 RN en forma simultánea, con sistema de calorificación que asegure 37ºC sobre la misma.</v>
      </c>
    </row>
    <row r="18" spans="1:2" ht="40.5" customHeight="1">
      <c r="A18" s="50" t="str">
        <f>IF(B18="","",Informe!B17)</f>
        <v>Zona de atención del RN en Sala de Partos:</v>
      </c>
      <c r="B18" s="50" t="str">
        <f>IF('Ingreso de datos'!C33=0,'Ingreso de datos'!A33,"")</f>
        <v>18. Cuenta con un mínimo de 2 bocas de oxígeno con flumiters/reductores, 1 de aspiración y 1 de aire comprimido</v>
      </c>
    </row>
    <row r="19" spans="1:2" ht="35.25" customHeight="1">
      <c r="A19" s="50" t="str">
        <f>IF(B19="","",Informe!B17)</f>
        <v>Zona de atención del RN en Sala de Partos:</v>
      </c>
      <c r="B19" s="50" t="str">
        <f>IF('Ingreso de datos'!C34=0,'Ingreso de datos'!A34,"")</f>
        <v>19. Pueden realizarse en este Sector procedimientos complejos (drenaje de neumotórax, peritoneocentesis,  etc.)</v>
      </c>
    </row>
    <row r="20" spans="1:2" ht="27.75" customHeight="1">
      <c r="A20" s="50" t="str">
        <f>IF(B20="","",Informe!B18)</f>
        <v>Zona de Internación Conjunta:</v>
      </c>
      <c r="B20" s="50" t="str">
        <f>IF('Ingreso de datos'!C35=0,'Ingreso de datos'!A35,"")</f>
        <v>20. Posee instalación eléctrica adecuada (mínimo 6 enchufes)</v>
      </c>
    </row>
    <row r="21" spans="1:2" ht="33" customHeight="1">
      <c r="A21" s="50" t="str">
        <f>IF(B21="","",Informe!B18)</f>
        <v>Zona de Internación Conjunta:</v>
      </c>
      <c r="B21" s="50" t="str">
        <f>IF('Ingreso de datos'!C42=0,'Ingreso de datos'!A42,"")</f>
        <v>22. La internación conjunta se realiza en ambientes de 9 m2 como mínimo por cama con su cuna correspondiente</v>
      </c>
    </row>
    <row r="22" spans="1:2" ht="33" customHeight="1">
      <c r="A22" s="50" t="str">
        <f>IF(B22="","",Informe!B18)</f>
        <v>Zona de Internación Conjunta:</v>
      </c>
      <c r="B22" s="50" t="str">
        <f>IF('Ingreso de datos'!C43=0,'Ingreso de datos'!A43,"")</f>
        <v>23. La internación conjunta se realiza en Sectores en los que expresamente se intenta reproducir una ambientación hogareña</v>
      </c>
    </row>
    <row r="23" spans="1:2" ht="63" customHeight="1">
      <c r="A23" s="50" t="str">
        <f>IF(B23="","",Informe!B19)</f>
        <v>Zona de Cuidados especiales Neonatales</v>
      </c>
      <c r="B23" s="50" t="str">
        <f>IF('Ingreso de datos'!C68=0,'Ingreso de datos'!A68,"")</f>
        <v>28. Los diferentes ambientes de la Zona de Internación constituyen una Unidad funcional aislada físicamente del resto y está dentro de un área de acceso restringido o semirrestringido controlado por Recepcionista</v>
      </c>
    </row>
    <row r="24" spans="1:2" ht="48" customHeight="1">
      <c r="A24" s="50" t="str">
        <f>IF(B24="","",Informe!B19)</f>
        <v>Zona de Cuidados especiales Neonatales</v>
      </c>
      <c r="B24" s="50" t="str">
        <f>IF('Ingreso de datos'!C69=0,'Ingreso de datos'!A69,"")</f>
        <v>29. Cuenta con antesala de recepción para padres y personal con 2 lavatorios, toalleros de papel, recipientes para residuos, percheros y armarios</v>
      </c>
    </row>
    <row r="25" spans="1:2" ht="24.75" customHeight="1">
      <c r="A25" s="45"/>
      <c r="B25" s="45"/>
    </row>
    <row r="26" spans="1:2" ht="96" customHeight="1">
      <c r="A26" s="45"/>
      <c r="B26" s="45"/>
    </row>
    <row r="27" spans="1:2" ht="42.75" customHeight="1">
      <c r="A27" s="63" t="str">
        <f>Informe!B22</f>
        <v>Equipamiento e instrumental:</v>
      </c>
      <c r="B27" s="45"/>
    </row>
    <row r="28" spans="1:2" ht="36.75" customHeight="1">
      <c r="A28" s="50" t="str">
        <f>IF(B28="","",Informe!B24)</f>
        <v>Requisitos comunes:</v>
      </c>
      <c r="B28" s="50" t="str">
        <f>IF('Ingreso de datos'!A144=".","","La suma de todos los ítems cumplidos del subcapítulo da menos del 50% del total")</f>
        <v>La suma de todos los ítems cumplidos del subcapítulo da menos del 50% del total</v>
      </c>
    </row>
    <row r="29" spans="1:2" ht="36.75" customHeight="1">
      <c r="A29" s="50" t="str">
        <f>IF(B29="","",Informe!B25)</f>
        <v>Zona de atención del RN en Sala de Partos</v>
      </c>
      <c r="B29" s="50" t="str">
        <f>IF('Ingreso de datos'!C147=0,'Ingreso de datos'!A147,"")</f>
        <v>82. Cuenta con balanza, pediómetro y cinta métrica inextensible</v>
      </c>
    </row>
    <row r="30" spans="1:2" ht="36.75" customHeight="1">
      <c r="A30" s="50" t="str">
        <f>IF(B30="","",Informe!B25)</f>
        <v>Zona de atención del RN en Sala de Partos</v>
      </c>
      <c r="B30" s="50" t="str">
        <f>IF('Ingreso de datos'!C148=0,'Ingreso de datos'!A148,"")</f>
        <v>83. Posee toallas y compresas estériles para la recepción del recién nacido y ropa quirúrgica (gorro, barbijo, antiparras y  guantes) para el  equipo que atiende al niño</v>
      </c>
    </row>
    <row r="31" spans="1:2" ht="36.75" customHeight="1">
      <c r="A31" s="50" t="str">
        <f>IF(B31="","",Informe!B25)</f>
        <v>Zona de atención del RN en Sala de Partos</v>
      </c>
      <c r="B31" s="50" t="str">
        <f>IF('Ingreso de datos'!C149=0,'Ingreso de datos'!A149,"")</f>
        <v>84. Cuenta con láminas de plástico y gorros para los RN Pretérminos</v>
      </c>
    </row>
    <row r="32" spans="1:2" ht="36.75" customHeight="1">
      <c r="A32" s="50" t="str">
        <f>IF(B32="","",Informe!B25)</f>
        <v>Zona de atención del RN en Sala de Partos</v>
      </c>
      <c r="B32" s="50" t="str">
        <f>IF('Ingreso de datos'!C150=0,'Ingreso de datos'!A150,"")</f>
        <v>85. Cuenta con termómetro de pared y reloj grande con segundero visible desde el lado del operador y fuente de luz sobre la mesada (o servocuna)</v>
      </c>
    </row>
    <row r="33" spans="1:2" ht="36.75" customHeight="1">
      <c r="A33" s="50" t="str">
        <f>IF(B33="","",Informe!B25)</f>
        <v>Zona de atención del RN en Sala de Partos</v>
      </c>
      <c r="B33" s="50" t="str">
        <f>IF('Ingreso de datos'!C151=0,'Ingreso de datos'!A151,"")</f>
        <v>86. Cuenta con los equipos necesarios para efectuar  la correcta identificación del RN (doble pulsera para el RN y simple para la madre con clamp numerado de igual código)</v>
      </c>
    </row>
    <row r="34" spans="1:2" ht="30.75" customHeight="1">
      <c r="A34" s="50" t="str">
        <f>IF(B34="","",Informe!B26)</f>
        <v>Zona de Internación Conjunta:</v>
      </c>
      <c r="B34" s="50" t="str">
        <f>IF('Ingreso de datos'!A171=".","","La suma de todos los ítems cumplidos del subcapítulo da menos del 50% del total")</f>
        <v>La suma de todos los ítems cumplidos del subcapítulo da menos del 50% del total</v>
      </c>
    </row>
    <row r="35" spans="1:2" ht="13.5" customHeight="1">
      <c r="A35" s="50"/>
      <c r="B35" s="50"/>
    </row>
    <row r="36" spans="1:2" ht="22.5" customHeight="1">
      <c r="A36" s="63" t="str">
        <f>Informe!B30</f>
        <v>Recursos Humanos:</v>
      </c>
      <c r="B36" s="45"/>
    </row>
    <row r="37" spans="1:2" ht="36.75" customHeight="1">
      <c r="A37" s="50" t="str">
        <f>IF(B37="","",Informe!B32)</f>
        <v>Requisitos comunes:</v>
      </c>
      <c r="B37" s="50" t="str">
        <f>IF('Ingreso de datos'!C220=0,'Ingreso de datos'!A220,"")</f>
        <v>140. A todo el personal, rentado o no, se le practica un examen médico (psicofísico) de admisión que incluye radiografía de tórax, serología para rubeola (al personal femenino), Hepatitis B,  HIV,etc.</v>
      </c>
    </row>
    <row r="38" spans="1:2" ht="25.5" customHeight="1">
      <c r="A38" s="50" t="str">
        <f>IF(B38="","",Informe!B32)</f>
        <v>Requisitos comunes:</v>
      </c>
      <c r="B38" s="50" t="str">
        <f>IF('Ingreso de datos'!C222=0,'Ingreso de datos'!A222,"")</f>
        <v>142. Una vez por año como mínimo se repite el examen médico</v>
      </c>
    </row>
    <row r="39" spans="1:2" ht="54.75" customHeight="1">
      <c r="A39" s="50" t="str">
        <f>IF(B39="","",Informe!B34)</f>
        <v>Médicos:</v>
      </c>
      <c r="B39" s="50" t="str">
        <f>IF('Ingreso de datos'!C233=0,'Ingreso de datos'!A233,"")</f>
        <v>149. El Servicio de Neonatología cuenta con un Jefe que cumple no menos de 30 hs. por semana que es Neonatólogo con título de especialista certificado y/o recertificado  y ha sido designado por concurso.</v>
      </c>
    </row>
    <row r="40" spans="1:2" ht="53.25" customHeight="1">
      <c r="A40" s="50" t="str">
        <f>IF(B40="","",Informe!B34)</f>
        <v>Médicos:</v>
      </c>
      <c r="B40" s="50" t="str">
        <f>IF('Ingreso de datos'!C234=0,'Ingreso de datos'!A234,"")</f>
        <v>150. El Jefe del Servicio ha realizado cursos  y/o Postgrados de más de 200 hs. en Administración Sanitaria y/o Hospitalaria y/o Programas Materno Infantiles y realiza Cursos  oficiales de Educación Contínua.</v>
      </c>
    </row>
    <row r="41" spans="1:2" ht="45" customHeight="1">
      <c r="A41" s="50" t="str">
        <f>IF(B41="","",Informe!B34)</f>
        <v>Médicos:</v>
      </c>
      <c r="B41" s="50" t="str">
        <f>IF('Ingreso de datos'!C235=0,'Ingreso de datos'!A235,"")</f>
        <v>151. Hay un médico asistente que cumple no menos de 24 hs. por semana, por cada 4 plazas de Cuidados Intensivos e Intermedios</v>
      </c>
    </row>
    <row r="42" spans="1:2" ht="24" customHeight="1">
      <c r="A42" s="50" t="str">
        <f>IF(B42="","",Informe!B34)</f>
        <v>Médicos:</v>
      </c>
      <c r="B42" s="50" t="str">
        <f>IF('Ingreso de datos'!C236=0,'Ingreso de datos'!A236,"")</f>
        <v>152. Se destina una hora médica diaria como mínimo por cada 4 RN normales (IC)</v>
      </c>
    </row>
    <row r="43" spans="1:2" ht="24" customHeight="1">
      <c r="A43" s="50" t="str">
        <f>IF(B43="","",Informe!B34)</f>
        <v>Médicos:</v>
      </c>
      <c r="B43" s="50" t="str">
        <f>IF('Ingreso de datos'!C237=0,'Ingreso de datos'!A237,"")</f>
        <v>153. Se destina una hora médica diaria por cada 2 RN de Crecimiento de Prematuros.</v>
      </c>
    </row>
    <row r="44" spans="1:2" ht="34.5" customHeight="1">
      <c r="A44" s="50" t="str">
        <f>IF(B44="","",Informe!B34)</f>
        <v>Médicos:</v>
      </c>
      <c r="B44" s="50" t="str">
        <f>IF('Ingreso de datos'!C238=0,'Ingreso de datos'!A238,"")</f>
        <v>154. Se destina una hora  médica diaria por cada  3 RN de Cuidados Transicionales o bajo riesgo</v>
      </c>
    </row>
    <row r="45" spans="1:2" ht="12.75">
      <c r="A45" s="45"/>
      <c r="B45" s="45"/>
    </row>
    <row r="46" spans="1:2" ht="12.75">
      <c r="A46" s="45"/>
      <c r="B46" s="45"/>
    </row>
    <row r="47" spans="1:2" ht="12.75">
      <c r="A47" s="45"/>
      <c r="B47" s="45"/>
    </row>
    <row r="48" spans="1:2" ht="12.75">
      <c r="A48" s="45"/>
      <c r="B48" s="45"/>
    </row>
    <row r="49" spans="1:2" ht="12.75">
      <c r="A49" s="45"/>
      <c r="B49" s="45"/>
    </row>
    <row r="50" spans="1:2" ht="12.75">
      <c r="A50" s="45"/>
      <c r="B50" s="45"/>
    </row>
    <row r="51" spans="1:2" ht="12.75">
      <c r="A51" s="45"/>
      <c r="B51" s="45"/>
    </row>
    <row r="52" spans="1:2" ht="12.75">
      <c r="A52" s="45"/>
      <c r="B52" s="45"/>
    </row>
    <row r="53" spans="1:2" ht="12.75">
      <c r="A53" s="45"/>
      <c r="B53" s="45"/>
    </row>
    <row r="54" spans="1:2" ht="12.75">
      <c r="A54" s="45"/>
      <c r="B54" s="45"/>
    </row>
    <row r="55" spans="1:2" ht="12.75">
      <c r="A55" s="45"/>
      <c r="B55" s="45"/>
    </row>
    <row r="56" spans="1:2" ht="12.75">
      <c r="A56" s="45"/>
      <c r="B56" s="45"/>
    </row>
    <row r="57" spans="1:2" ht="12.75">
      <c r="A57" s="45"/>
      <c r="B57" s="45"/>
    </row>
    <row r="58" spans="1:2" ht="12.75">
      <c r="A58" s="45"/>
      <c r="B58" s="45"/>
    </row>
    <row r="59" spans="1:2" ht="12.75">
      <c r="A59" s="45"/>
      <c r="B59" s="45"/>
    </row>
    <row r="60" spans="1:2" ht="12.75">
      <c r="A60" s="45"/>
      <c r="B60" s="45"/>
    </row>
    <row r="61" spans="1:2" ht="12.75">
      <c r="A61" s="45"/>
      <c r="B61" s="45"/>
    </row>
    <row r="62" spans="1:2" ht="12.75">
      <c r="A62" s="45"/>
      <c r="B62" s="45"/>
    </row>
    <row r="63" spans="1:2" ht="12.75">
      <c r="A63" s="45"/>
      <c r="B63" s="45"/>
    </row>
    <row r="64" spans="1:2" ht="12.75">
      <c r="A64" s="45"/>
      <c r="B64" s="45"/>
    </row>
    <row r="65" spans="1:2" ht="12.75">
      <c r="A65" s="45"/>
      <c r="B65" s="45"/>
    </row>
    <row r="66" spans="1:2" ht="12.75">
      <c r="A66" s="45"/>
      <c r="B66" s="45"/>
    </row>
    <row r="67" spans="1:2" ht="12.75">
      <c r="A67" s="45"/>
      <c r="B67" s="45"/>
    </row>
    <row r="68" spans="1:2" ht="12.75">
      <c r="A68" s="45"/>
      <c r="B68" s="45"/>
    </row>
    <row r="69" spans="1:2" ht="12.75">
      <c r="A69" s="45"/>
      <c r="B69" s="45"/>
    </row>
    <row r="70" spans="1:2" ht="12.75">
      <c r="A70" s="45"/>
      <c r="B70" s="45"/>
    </row>
    <row r="71" spans="1:2" ht="12.75">
      <c r="A71" s="45"/>
      <c r="B71" s="45"/>
    </row>
    <row r="72" spans="1:2" ht="12.75">
      <c r="A72" s="45"/>
      <c r="B72" s="45"/>
    </row>
    <row r="73" spans="1:2" ht="12.75">
      <c r="A73" s="45"/>
      <c r="B73" s="45"/>
    </row>
    <row r="74" spans="1:2" ht="12.75">
      <c r="A74" s="45"/>
      <c r="B74" s="45"/>
    </row>
    <row r="75" spans="1:2" ht="12.75">
      <c r="A75" s="45"/>
      <c r="B75" s="45"/>
    </row>
    <row r="76" spans="1:2" ht="12.75">
      <c r="A76" s="45"/>
      <c r="B76" s="45"/>
    </row>
    <row r="77" spans="1:2" ht="12.75">
      <c r="A77" s="45"/>
      <c r="B77" s="45"/>
    </row>
    <row r="78" spans="1:2" ht="12.75">
      <c r="A78" s="45"/>
      <c r="B78" s="45"/>
    </row>
    <row r="79" spans="1:2" ht="12.75">
      <c r="A79" s="45"/>
      <c r="B79" s="45"/>
    </row>
    <row r="80" spans="1:2" ht="12.75">
      <c r="A80" s="45"/>
      <c r="B80" s="45"/>
    </row>
    <row r="81" spans="1:2" ht="12.75">
      <c r="A81" s="45"/>
      <c r="B81" s="45"/>
    </row>
    <row r="82" spans="1:2" ht="12.75">
      <c r="A82" s="45"/>
      <c r="B82" s="45"/>
    </row>
    <row r="83" spans="1:2" ht="12.75">
      <c r="A83" s="45"/>
      <c r="B83" s="45"/>
    </row>
    <row r="84" spans="1:2" ht="12.75">
      <c r="A84" s="45"/>
      <c r="B84" s="45"/>
    </row>
    <row r="85" spans="1:2" ht="12.75">
      <c r="A85" s="45"/>
      <c r="B85" s="45"/>
    </row>
    <row r="86" spans="1:2" ht="12.75">
      <c r="A86" s="45"/>
      <c r="B86" s="45"/>
    </row>
    <row r="87" spans="1:2" ht="12.75">
      <c r="A87" s="45"/>
      <c r="B87" s="45"/>
    </row>
    <row r="88" spans="1:2" ht="12.75">
      <c r="A88" s="45"/>
      <c r="B88" s="45"/>
    </row>
    <row r="89" spans="1:2" ht="12.75">
      <c r="A89" s="45"/>
      <c r="B89" s="45"/>
    </row>
    <row r="90" spans="1:2" ht="12.75">
      <c r="A90" s="45"/>
      <c r="B90" s="45"/>
    </row>
    <row r="91" spans="1:2" ht="12.75">
      <c r="A91" s="45"/>
      <c r="B91" s="45"/>
    </row>
    <row r="92" spans="1:2" ht="12.75">
      <c r="A92" s="45"/>
      <c r="B92" s="45"/>
    </row>
    <row r="93" spans="1:2" ht="12.75">
      <c r="A93" s="45"/>
      <c r="B93" s="45"/>
    </row>
    <row r="94" spans="1:2" ht="12.75">
      <c r="A94" s="45"/>
      <c r="B94" s="45"/>
    </row>
    <row r="95" spans="1:2" ht="12.75">
      <c r="A95" s="45"/>
      <c r="B95" s="45"/>
    </row>
    <row r="96" spans="1:2" ht="12.75">
      <c r="A96" s="45"/>
      <c r="B96" s="45"/>
    </row>
    <row r="97" spans="1:2" ht="12.75">
      <c r="A97" s="45"/>
      <c r="B97" s="45"/>
    </row>
    <row r="98" spans="1:2" ht="12.75">
      <c r="A98" s="45"/>
      <c r="B98" s="45"/>
    </row>
    <row r="99" spans="1:2" ht="12.75">
      <c r="A99" s="45"/>
      <c r="B99" s="45"/>
    </row>
    <row r="100" spans="1:2" ht="12.75">
      <c r="A100" s="45"/>
      <c r="B100" s="45"/>
    </row>
    <row r="101" spans="1:2" ht="12.75">
      <c r="A101" s="45"/>
      <c r="B101" s="45"/>
    </row>
    <row r="102" spans="1:2" ht="12.75">
      <c r="A102" s="45"/>
      <c r="B102" s="45"/>
    </row>
    <row r="103" spans="1:2" ht="12.75">
      <c r="A103" s="45"/>
      <c r="B103" s="45"/>
    </row>
    <row r="104" spans="1:2" ht="12.75">
      <c r="A104" s="45"/>
      <c r="B104" s="45"/>
    </row>
    <row r="105" spans="1:2" ht="12.75">
      <c r="A105" s="45"/>
      <c r="B105" s="45"/>
    </row>
    <row r="106" spans="1:2" ht="12.75">
      <c r="A106" s="45"/>
      <c r="B106" s="45"/>
    </row>
    <row r="107" spans="1:2" ht="12.75">
      <c r="A107" s="45"/>
      <c r="B107" s="45"/>
    </row>
    <row r="108" spans="1:2" ht="12.75">
      <c r="A108" s="45"/>
      <c r="B108" s="45"/>
    </row>
    <row r="109" spans="1:2" ht="12.75">
      <c r="A109" s="45"/>
      <c r="B109" s="45"/>
    </row>
    <row r="110" spans="1:2" ht="12.75">
      <c r="A110" s="45"/>
      <c r="B110" s="45"/>
    </row>
    <row r="111" spans="1:2" ht="12.75">
      <c r="A111" s="45"/>
      <c r="B111" s="45"/>
    </row>
    <row r="112" spans="1:2" ht="12.75">
      <c r="A112" s="45"/>
      <c r="B112" s="45"/>
    </row>
    <row r="113" spans="1:2" ht="12.75">
      <c r="A113" s="45"/>
      <c r="B113" s="45"/>
    </row>
    <row r="114" spans="1:2" ht="12.75">
      <c r="A114" s="45"/>
      <c r="B114" s="45"/>
    </row>
    <row r="115" spans="1:2" ht="12.75">
      <c r="A115" s="45"/>
      <c r="B115" s="45"/>
    </row>
    <row r="116" spans="1:2" ht="12.75">
      <c r="A116" s="45"/>
      <c r="B116" s="45"/>
    </row>
    <row r="117" spans="1:2" ht="12.75">
      <c r="A117" s="45"/>
      <c r="B117" s="45"/>
    </row>
    <row r="118" spans="1:2" ht="12.75">
      <c r="A118" s="45"/>
      <c r="B118" s="45"/>
    </row>
    <row r="119" spans="1:2" ht="12.75">
      <c r="A119" s="45"/>
      <c r="B119" s="45"/>
    </row>
    <row r="120" spans="1:2" ht="12.75">
      <c r="A120" s="45"/>
      <c r="B120" s="45"/>
    </row>
    <row r="121" spans="1:2" ht="12.75">
      <c r="A121" s="45"/>
      <c r="B121" s="45"/>
    </row>
    <row r="122" spans="1:2" ht="12.75">
      <c r="A122" s="45"/>
      <c r="B122" s="45"/>
    </row>
    <row r="123" spans="1:2" ht="12.75">
      <c r="A123" s="45"/>
      <c r="B123" s="45"/>
    </row>
    <row r="124" spans="1:2" ht="12.75">
      <c r="A124" s="45"/>
      <c r="B124" s="45"/>
    </row>
    <row r="125" spans="1:2" ht="12.75">
      <c r="A125" s="45"/>
      <c r="B125" s="45"/>
    </row>
    <row r="126" spans="1:2" ht="12.75">
      <c r="A126" s="45"/>
      <c r="B126" s="45"/>
    </row>
    <row r="127" spans="1:2" ht="12.75">
      <c r="A127" s="45"/>
      <c r="B127" s="45"/>
    </row>
    <row r="128" spans="1:2" ht="12.75">
      <c r="A128" s="45"/>
      <c r="B128" s="45"/>
    </row>
    <row r="129" spans="1:2" ht="12.75">
      <c r="A129" s="45"/>
      <c r="B129" s="45"/>
    </row>
    <row r="130" spans="1:2" ht="12.75">
      <c r="A130" s="45"/>
      <c r="B130" s="45"/>
    </row>
    <row r="131" spans="1:2" ht="12.75">
      <c r="A131" s="45"/>
      <c r="B131" s="45"/>
    </row>
    <row r="132" spans="1:2" ht="12.75">
      <c r="A132" s="45"/>
      <c r="B132" s="45"/>
    </row>
    <row r="133" spans="1:2" ht="12.75">
      <c r="A133" s="45"/>
      <c r="B133" s="45"/>
    </row>
    <row r="134" spans="1:2" ht="12.75">
      <c r="A134" s="45"/>
      <c r="B134" s="45"/>
    </row>
    <row r="135" spans="1:2" ht="12.75">
      <c r="A135" s="45"/>
      <c r="B135" s="45"/>
    </row>
    <row r="136" spans="1:2" ht="12.75">
      <c r="A136" s="45"/>
      <c r="B136" s="45"/>
    </row>
    <row r="137" spans="1:2" ht="12.75">
      <c r="A137" s="45"/>
      <c r="B137" s="45"/>
    </row>
    <row r="138" spans="1:2" ht="12.75">
      <c r="A138" s="45"/>
      <c r="B138" s="45"/>
    </row>
    <row r="139" spans="1:2" ht="12.75">
      <c r="A139" s="45"/>
      <c r="B139" s="45"/>
    </row>
    <row r="140" spans="1:2" ht="12.75">
      <c r="A140" s="45"/>
      <c r="B140" s="45"/>
    </row>
    <row r="141" spans="1:2" ht="12.75">
      <c r="A141" s="45"/>
      <c r="B141" s="45"/>
    </row>
    <row r="142" spans="1:2" ht="12.75">
      <c r="A142" s="45"/>
      <c r="B142" s="45"/>
    </row>
    <row r="143" spans="1:2" ht="12.75">
      <c r="A143" s="45"/>
      <c r="B143" s="45"/>
    </row>
    <row r="144" spans="1:2" ht="12.75">
      <c r="A144" s="45"/>
      <c r="B144" s="45"/>
    </row>
    <row r="145" spans="1:2" ht="12.75">
      <c r="A145" s="45"/>
      <c r="B145" s="45"/>
    </row>
  </sheetData>
  <sheetProtection password="DF15" sheet="1" objects="1" scenarios="1"/>
  <mergeCells count="4">
    <mergeCell ref="A1:B1"/>
    <mergeCell ref="A3:B3"/>
    <mergeCell ref="A5:B5"/>
    <mergeCell ref="A6:B6"/>
  </mergeCells>
  <printOptions horizontalCentered="1" verticalCentered="1"/>
  <pageMargins left="0.7874015748031497" right="0.7874015748031497" top="0.984251968503937" bottom="0.984251968503937" header="0" footer="0"/>
  <pageSetup horizontalDpi="300" verticalDpi="300" orientation="portrait" paperSize="9" scale="81" r:id="rId3"/>
  <drawing r:id="rId2"/>
  <legacyDrawing r:id="rId1"/>
</worksheet>
</file>

<file path=xl/worksheets/sheet6.xml><?xml version="1.0" encoding="utf-8"?>
<worksheet xmlns="http://schemas.openxmlformats.org/spreadsheetml/2006/main" xmlns:r="http://schemas.openxmlformats.org/officeDocument/2006/relationships">
  <dimension ref="A1:D79"/>
  <sheetViews>
    <sheetView showGridLines="0" showRowColHeaders="0" workbookViewId="0" topLeftCell="A79">
      <selection activeCell="B8" sqref="B8"/>
    </sheetView>
  </sheetViews>
  <sheetFormatPr defaultColWidth="11.421875" defaultRowHeight="12.75"/>
  <cols>
    <col min="1" max="1" width="43.28125" style="1" customWidth="1"/>
    <col min="2" max="2" width="27.00390625" style="4" customWidth="1"/>
    <col min="3" max="3" width="6.28125" style="4" customWidth="1"/>
    <col min="4" max="4" width="10.421875" style="8" customWidth="1"/>
    <col min="5" max="16384" width="11.421875" style="1" customWidth="1"/>
  </cols>
  <sheetData>
    <row r="1" spans="1:3" ht="18">
      <c r="A1" s="215" t="s">
        <v>120</v>
      </c>
      <c r="B1" s="216"/>
      <c r="C1" s="217"/>
    </row>
    <row r="2" spans="1:3" ht="14.25">
      <c r="A2" s="68" t="s">
        <v>209</v>
      </c>
      <c r="B2" s="69"/>
      <c r="C2" s="70"/>
    </row>
    <row r="3" spans="1:3" ht="14.25">
      <c r="A3" s="71" t="s">
        <v>98</v>
      </c>
      <c r="B3" s="69"/>
      <c r="C3" s="70"/>
    </row>
    <row r="4" spans="1:3" ht="5.25" customHeight="1">
      <c r="A4" s="71"/>
      <c r="B4" s="69"/>
      <c r="C4" s="70"/>
    </row>
    <row r="5" spans="1:4" ht="15">
      <c r="A5" s="72" t="s">
        <v>425</v>
      </c>
      <c r="B5" s="218">
        <f>'Ingreso de datos'!A429</f>
        <v>0</v>
      </c>
      <c r="C5" s="219"/>
      <c r="D5" s="220"/>
    </row>
    <row r="6" spans="1:4" ht="15">
      <c r="A6" s="72" t="s">
        <v>38</v>
      </c>
      <c r="B6" s="218">
        <f>'Ingreso de datos'!A427</f>
        <v>0</v>
      </c>
      <c r="C6" s="219"/>
      <c r="D6" s="220"/>
    </row>
    <row r="7" ht="12.75">
      <c r="A7" s="9"/>
    </row>
    <row r="8" spans="1:2" ht="12.75">
      <c r="A8" s="2" t="s">
        <v>426</v>
      </c>
      <c r="B8" s="5"/>
    </row>
    <row r="9" spans="1:2" ht="12.75">
      <c r="A9" s="2" t="s">
        <v>427</v>
      </c>
      <c r="B9" s="6"/>
    </row>
    <row r="10" spans="1:2" ht="15.75">
      <c r="A10" s="3" t="s">
        <v>428</v>
      </c>
      <c r="B10" s="7"/>
    </row>
    <row r="11" spans="1:4" ht="12.75">
      <c r="A11" s="2" t="s">
        <v>429</v>
      </c>
      <c r="B11" s="6"/>
      <c r="C11" s="10">
        <f>IF(B11="","",B11*24)</f>
      </c>
      <c r="D11" s="17">
        <f>IF(D12="","","Total planta:")</f>
      </c>
    </row>
    <row r="12" spans="1:4" ht="12.75">
      <c r="A12" s="2" t="s">
        <v>430</v>
      </c>
      <c r="B12" s="6"/>
      <c r="C12" s="10">
        <f>IF(B12="","",B12*36)</f>
      </c>
      <c r="D12" s="17">
        <f>IF(C11="","",SUM(C11:C13))</f>
      </c>
    </row>
    <row r="13" spans="1:3" ht="12.75">
      <c r="A13" s="2" t="s">
        <v>431</v>
      </c>
      <c r="B13" s="6"/>
      <c r="C13" s="10">
        <f>IF(B13="","",B13*40)</f>
      </c>
    </row>
    <row r="14" spans="1:4" ht="12.75">
      <c r="A14" s="2" t="s">
        <v>432</v>
      </c>
      <c r="B14" s="6"/>
      <c r="C14" s="10">
        <f>IF(B14="","",B14*24)</f>
      </c>
      <c r="D14" s="17">
        <f>IF(D15="","","Total gdia:")</f>
      </c>
    </row>
    <row r="15" spans="1:4" ht="12.75">
      <c r="A15" s="2" t="s">
        <v>433</v>
      </c>
      <c r="B15" s="6"/>
      <c r="C15" s="10">
        <f>IF(B15="","",B15*24)</f>
      </c>
      <c r="D15" s="17">
        <f>IF(C14="","",SUM(C14:C17))</f>
      </c>
    </row>
    <row r="16" spans="1:3" ht="12.75">
      <c r="A16" s="2" t="s">
        <v>434</v>
      </c>
      <c r="B16" s="6"/>
      <c r="C16" s="10">
        <f>IF(B16="","",B16*36)</f>
      </c>
    </row>
    <row r="17" spans="1:4" ht="12.75">
      <c r="A17" s="2" t="s">
        <v>435</v>
      </c>
      <c r="B17" s="6"/>
      <c r="C17" s="10">
        <f>IF(B17="","",B17*40)</f>
      </c>
      <c r="D17" s="17">
        <f>IF(D18="","","Total:")</f>
      </c>
    </row>
    <row r="18" spans="1:4" ht="15.75">
      <c r="A18" s="3" t="s">
        <v>80</v>
      </c>
      <c r="B18" s="7"/>
      <c r="D18" s="17">
        <f>IF(C14="","",SUM(C11:C17))</f>
      </c>
    </row>
    <row r="19" spans="1:2" ht="12.75">
      <c r="A19" s="2" t="s">
        <v>436</v>
      </c>
      <c r="B19" s="6"/>
    </row>
    <row r="20" spans="1:2" ht="12.75">
      <c r="A20" s="2" t="s">
        <v>437</v>
      </c>
      <c r="B20" s="6"/>
    </row>
    <row r="21" spans="1:2" ht="12.75">
      <c r="A21" s="2" t="s">
        <v>438</v>
      </c>
      <c r="B21" s="6"/>
    </row>
    <row r="22" spans="1:4" ht="12.75">
      <c r="A22" s="2" t="s">
        <v>439</v>
      </c>
      <c r="B22" s="6"/>
      <c r="D22" s="17">
        <f>IF(D23="","","Total:")</f>
      </c>
    </row>
    <row r="23" spans="1:4" ht="12.75">
      <c r="A23" s="2" t="s">
        <v>440</v>
      </c>
      <c r="B23" s="6"/>
      <c r="D23" s="17">
        <f>IF(B19="","",SUM(B19:B23))</f>
      </c>
    </row>
    <row r="24" spans="1:2" ht="15.75">
      <c r="A24" s="3" t="s">
        <v>81</v>
      </c>
      <c r="B24" s="7"/>
    </row>
    <row r="25" spans="1:2" ht="12.75">
      <c r="A25" s="2" t="s">
        <v>436</v>
      </c>
      <c r="B25" s="6"/>
    </row>
    <row r="26" spans="1:2" ht="12.75">
      <c r="A26" s="2" t="s">
        <v>437</v>
      </c>
      <c r="B26" s="6"/>
    </row>
    <row r="27" spans="1:2" ht="12.75">
      <c r="A27" s="2" t="s">
        <v>438</v>
      </c>
      <c r="B27" s="6"/>
    </row>
    <row r="28" spans="1:4" ht="12.75">
      <c r="A28" s="2" t="s">
        <v>439</v>
      </c>
      <c r="B28" s="6"/>
      <c r="D28" s="17">
        <f>IF(D29="","","Total:")</f>
      </c>
    </row>
    <row r="29" spans="1:4" ht="12.75">
      <c r="A29" s="2" t="s">
        <v>440</v>
      </c>
      <c r="B29" s="6"/>
      <c r="D29" s="17">
        <f>IF(B25="","",SUM(B25:B29))</f>
      </c>
    </row>
    <row r="30" spans="1:2" ht="12.75">
      <c r="A30" s="2" t="s">
        <v>442</v>
      </c>
      <c r="B30" s="6"/>
    </row>
    <row r="31" spans="1:2" ht="12.75">
      <c r="A31" s="2" t="s">
        <v>443</v>
      </c>
      <c r="B31" s="6"/>
    </row>
    <row r="32" spans="1:2" ht="15.75">
      <c r="A32" s="3" t="s">
        <v>444</v>
      </c>
      <c r="B32" s="7"/>
    </row>
    <row r="33" spans="1:2" ht="12.75">
      <c r="A33" s="2" t="s">
        <v>445</v>
      </c>
      <c r="B33" s="6"/>
    </row>
    <row r="34" spans="1:2" ht="12.75">
      <c r="A34" s="2" t="s">
        <v>446</v>
      </c>
      <c r="B34" s="6"/>
    </row>
    <row r="35" spans="1:2" ht="12.75">
      <c r="A35" s="2" t="s">
        <v>447</v>
      </c>
      <c r="B35" s="6"/>
    </row>
    <row r="36" spans="1:2" ht="12.75">
      <c r="A36" s="2" t="s">
        <v>448</v>
      </c>
      <c r="B36" s="6"/>
    </row>
    <row r="37" spans="1:2" ht="12.75">
      <c r="A37" s="2" t="s">
        <v>449</v>
      </c>
      <c r="B37" s="6"/>
    </row>
    <row r="38" spans="1:2" ht="12.75">
      <c r="A38" s="2" t="s">
        <v>450</v>
      </c>
      <c r="B38" s="6"/>
    </row>
    <row r="39" spans="1:2" ht="15" customHeight="1">
      <c r="A39" s="3" t="s">
        <v>214</v>
      </c>
      <c r="B39" s="7"/>
    </row>
    <row r="40" spans="1:2" ht="15.75">
      <c r="A40" s="2" t="s">
        <v>213</v>
      </c>
      <c r="B40" s="74">
        <v>2003</v>
      </c>
    </row>
    <row r="41" spans="1:2" ht="12.75">
      <c r="A41" s="73" t="str">
        <f>"N° total de partos del año "&amp;B40</f>
        <v>N° total de partos del año 2003</v>
      </c>
      <c r="B41" s="6">
        <v>7000</v>
      </c>
    </row>
    <row r="42" spans="1:2" ht="15.75">
      <c r="A42" s="73" t="s">
        <v>212</v>
      </c>
      <c r="B42" s="74">
        <v>2004</v>
      </c>
    </row>
    <row r="43" spans="1:4" ht="12.75">
      <c r="A43" s="2" t="str">
        <f>"N° de partos para el año "&amp;B42&amp;" parcial"</f>
        <v>N° de partos para el año 2004 parcial</v>
      </c>
      <c r="B43" s="6">
        <v>2340</v>
      </c>
      <c r="C43" s="221" t="str">
        <f>IF(C44="","","Proyección anual")</f>
        <v>Proyección anual</v>
      </c>
      <c r="D43" s="222"/>
    </row>
    <row r="44" spans="1:3" ht="12.75">
      <c r="A44" s="2" t="s">
        <v>451</v>
      </c>
      <c r="B44" s="6">
        <v>5</v>
      </c>
      <c r="C44" s="18">
        <f>IF(B43="","",IF(B44="","",12*B43/B44))</f>
        <v>5616</v>
      </c>
    </row>
    <row r="45" spans="1:3" ht="12.75">
      <c r="A45" s="2" t="s">
        <v>452</v>
      </c>
      <c r="B45" s="6"/>
      <c r="C45" s="10">
        <f>IF(B45="","",IF(B41="","",INT(B45*B41/100)))</f>
      </c>
    </row>
    <row r="46" spans="1:2" ht="12.75">
      <c r="A46" s="2" t="s">
        <v>453</v>
      </c>
      <c r="B46" s="6"/>
    </row>
    <row r="47" spans="1:2" ht="12.75">
      <c r="A47" s="2" t="s">
        <v>454</v>
      </c>
      <c r="B47" s="6"/>
    </row>
    <row r="48" spans="1:4" ht="12.75">
      <c r="A48" s="2" t="s">
        <v>455</v>
      </c>
      <c r="B48" s="6"/>
      <c r="C48" s="10">
        <f>IF(B48="","",IF(B41="","",INT(B48*C45/365)))</f>
      </c>
      <c r="D48" s="13">
        <f>IF(C45="","","censo diario")</f>
      </c>
    </row>
    <row r="49" spans="1:2" ht="12.75">
      <c r="A49" s="2" t="s">
        <v>26</v>
      </c>
      <c r="B49" s="6"/>
    </row>
    <row r="50" spans="1:2" ht="12.75">
      <c r="A50" s="2" t="s">
        <v>21</v>
      </c>
      <c r="B50" s="6"/>
    </row>
    <row r="51" spans="1:2" ht="12.75">
      <c r="A51" s="2" t="s">
        <v>22</v>
      </c>
      <c r="B51" s="6"/>
    </row>
    <row r="52" spans="1:2" ht="12.75">
      <c r="A52" s="2" t="s">
        <v>23</v>
      </c>
      <c r="B52" s="6"/>
    </row>
    <row r="53" spans="1:2" ht="12.75">
      <c r="A53" s="2" t="s">
        <v>27</v>
      </c>
      <c r="B53" s="6"/>
    </row>
    <row r="54" spans="1:2" ht="12.75">
      <c r="A54" s="2" t="s">
        <v>28</v>
      </c>
      <c r="B54" s="6"/>
    </row>
    <row r="55" spans="1:2" ht="12.75">
      <c r="A55" s="2" t="s">
        <v>456</v>
      </c>
      <c r="B55" s="6"/>
    </row>
    <row r="56" spans="1:3" ht="12.75">
      <c r="A56" s="2" t="s">
        <v>457</v>
      </c>
      <c r="B56" s="6"/>
      <c r="C56" s="10">
        <f>IF(B56="","",INT(B56*B41/100))</f>
      </c>
    </row>
    <row r="57" spans="1:3" ht="12.75">
      <c r="A57" s="2" t="s">
        <v>0</v>
      </c>
      <c r="B57" s="6"/>
      <c r="C57" s="10">
        <f>IF(B57="","",INT(B57*B41/100))</f>
      </c>
    </row>
    <row r="58" spans="1:2" ht="18">
      <c r="A58" s="16" t="s">
        <v>2</v>
      </c>
      <c r="B58" s="7"/>
    </row>
    <row r="59" spans="1:4" ht="12.75">
      <c r="A59" s="2" t="s">
        <v>3</v>
      </c>
      <c r="B59" s="6"/>
      <c r="C59" s="209">
        <f>IF(B59="","","1 cada "&amp;INT($B$41/B59)&amp;" RN")</f>
      </c>
      <c r="D59" s="210"/>
    </row>
    <row r="60" spans="1:4" ht="12.75">
      <c r="A60" s="2" t="s">
        <v>4</v>
      </c>
      <c r="B60" s="6"/>
      <c r="C60" s="209">
        <f>IF(B60="","","1 cada "&amp;INT($B$41/B60)&amp;" RN")</f>
      </c>
      <c r="D60" s="210"/>
    </row>
    <row r="61" spans="1:4" ht="12.75">
      <c r="A61" s="2" t="s">
        <v>5</v>
      </c>
      <c r="B61" s="6"/>
      <c r="C61" s="209">
        <f>IF(B61="","","1 cada "&amp;INT($B$41/B61)&amp;" RN")</f>
      </c>
      <c r="D61" s="210"/>
    </row>
    <row r="62" spans="1:4" ht="12.75">
      <c r="A62" s="2" t="s">
        <v>6</v>
      </c>
      <c r="B62" s="6"/>
      <c r="C62" s="209">
        <f>IF(B62="","","1 cada "&amp;INT($B$41/B62)&amp;" RN")</f>
      </c>
      <c r="D62" s="210"/>
    </row>
    <row r="63" spans="1:4" ht="12.75">
      <c r="A63" s="2" t="s">
        <v>7</v>
      </c>
      <c r="B63" s="6"/>
      <c r="C63" s="209">
        <f>IF(B63="","","1 cada "&amp;INT($B$41/B63)&amp;" RN")</f>
      </c>
      <c r="D63" s="210"/>
    </row>
    <row r="64" spans="1:4" ht="18">
      <c r="A64" s="16" t="s">
        <v>8</v>
      </c>
      <c r="B64" s="7"/>
      <c r="C64" s="14"/>
      <c r="D64" s="15"/>
    </row>
    <row r="65" spans="1:4" ht="12.75">
      <c r="A65" s="2" t="s">
        <v>9</v>
      </c>
      <c r="B65" s="6"/>
      <c r="C65" s="209">
        <f aca="true" t="shared" si="0" ref="C65:C73">IF(B65="","","1 cada "&amp;INT($B$41/B65)&amp;" RN")</f>
      </c>
      <c r="D65" s="210"/>
    </row>
    <row r="66" spans="1:4" ht="12.75">
      <c r="A66" s="2" t="s">
        <v>10</v>
      </c>
      <c r="B66" s="6"/>
      <c r="C66" s="209">
        <f t="shared" si="0"/>
      </c>
      <c r="D66" s="210"/>
    </row>
    <row r="67" spans="1:4" ht="12.75">
      <c r="A67" s="2" t="s">
        <v>11</v>
      </c>
      <c r="B67" s="6"/>
      <c r="C67" s="209">
        <f t="shared" si="0"/>
      </c>
      <c r="D67" s="210"/>
    </row>
    <row r="68" spans="1:4" ht="12.75">
      <c r="A68" s="2" t="s">
        <v>12</v>
      </c>
      <c r="B68" s="6"/>
      <c r="C68" s="209">
        <f t="shared" si="0"/>
      </c>
      <c r="D68" s="210"/>
    </row>
    <row r="69" spans="1:4" ht="12.75">
      <c r="A69" s="2" t="s">
        <v>13</v>
      </c>
      <c r="B69" s="6"/>
      <c r="C69" s="209">
        <f t="shared" si="0"/>
      </c>
      <c r="D69" s="210"/>
    </row>
    <row r="70" spans="1:4" ht="12.75">
      <c r="A70" s="2" t="s">
        <v>14</v>
      </c>
      <c r="B70" s="6"/>
      <c r="C70" s="209">
        <f t="shared" si="0"/>
      </c>
      <c r="D70" s="210"/>
    </row>
    <row r="71" spans="1:4" ht="12.75">
      <c r="A71" s="2" t="s">
        <v>15</v>
      </c>
      <c r="B71" s="6"/>
      <c r="C71" s="209">
        <f t="shared" si="0"/>
      </c>
      <c r="D71" s="210"/>
    </row>
    <row r="72" spans="1:4" ht="12.75">
      <c r="A72" s="2" t="s">
        <v>16</v>
      </c>
      <c r="B72" s="6"/>
      <c r="C72" s="209">
        <f t="shared" si="0"/>
      </c>
      <c r="D72" s="210"/>
    </row>
    <row r="73" spans="1:4" ht="12.75">
      <c r="A73" s="2" t="s">
        <v>17</v>
      </c>
      <c r="B73" s="6"/>
      <c r="C73" s="209">
        <f t="shared" si="0"/>
      </c>
      <c r="D73" s="210"/>
    </row>
    <row r="74" spans="1:4" ht="12.75">
      <c r="A74" s="11" t="s">
        <v>24</v>
      </c>
      <c r="B74" s="12"/>
      <c r="C74" s="211"/>
      <c r="D74" s="212"/>
    </row>
    <row r="75" spans="1:2" ht="12.75">
      <c r="A75" s="2" t="s">
        <v>1</v>
      </c>
      <c r="B75" s="6"/>
    </row>
    <row r="76" spans="1:4" ht="18">
      <c r="A76" s="213" t="s">
        <v>25</v>
      </c>
      <c r="B76" s="214"/>
      <c r="C76" s="214"/>
      <c r="D76" s="214"/>
    </row>
    <row r="77" spans="1:4" ht="99.75" customHeight="1">
      <c r="A77" s="204"/>
      <c r="B77" s="205"/>
      <c r="C77" s="205"/>
      <c r="D77" s="206"/>
    </row>
    <row r="78" spans="1:4" ht="112.5" customHeight="1">
      <c r="A78" s="207"/>
      <c r="B78" s="208"/>
      <c r="C78" s="208"/>
      <c r="D78" s="208"/>
    </row>
    <row r="79" spans="1:4" ht="44.25" customHeight="1">
      <c r="A79" s="207"/>
      <c r="B79" s="208"/>
      <c r="C79" s="208"/>
      <c r="D79" s="208"/>
    </row>
    <row r="82" ht="12.75"/>
    <row r="83" ht="12.75"/>
  </sheetData>
  <sheetProtection password="DF15" sheet="1" objects="1" scenarios="1"/>
  <mergeCells count="23">
    <mergeCell ref="C63:D63"/>
    <mergeCell ref="C60:D60"/>
    <mergeCell ref="C43:D43"/>
    <mergeCell ref="C61:D61"/>
    <mergeCell ref="C62:D62"/>
    <mergeCell ref="A1:C1"/>
    <mergeCell ref="C59:D59"/>
    <mergeCell ref="B6:D6"/>
    <mergeCell ref="B5:D5"/>
    <mergeCell ref="C65:D65"/>
    <mergeCell ref="C66:D66"/>
    <mergeCell ref="C67:D67"/>
    <mergeCell ref="C73:D73"/>
    <mergeCell ref="C69:D69"/>
    <mergeCell ref="C68:D68"/>
    <mergeCell ref="A77:D77"/>
    <mergeCell ref="A78:D78"/>
    <mergeCell ref="A79:D79"/>
    <mergeCell ref="C70:D70"/>
    <mergeCell ref="C71:D71"/>
    <mergeCell ref="C72:D72"/>
    <mergeCell ref="C74:D74"/>
    <mergeCell ref="A76:D76"/>
  </mergeCells>
  <printOptions horizontalCentered="1"/>
  <pageMargins left="0.7874015748031497" right="0.7874015748031497" top="0.984251968503937" bottom="0.984251968503937" header="0" footer="0"/>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16"/>
  <sheetViews>
    <sheetView showGridLines="0" showRowColHeaders="0" workbookViewId="0" topLeftCell="A1">
      <selection activeCell="B5" sqref="B5:C5"/>
    </sheetView>
  </sheetViews>
  <sheetFormatPr defaultColWidth="11.421875" defaultRowHeight="12.75"/>
  <cols>
    <col min="1" max="1" width="32.28125" style="77" customWidth="1"/>
    <col min="2" max="2" width="21.00390625" style="77" customWidth="1"/>
    <col min="3" max="3" width="29.8515625" style="77" customWidth="1"/>
    <col min="4" max="4" width="20.8515625" style="77" customWidth="1"/>
    <col min="5" max="16384" width="11.421875" style="77" customWidth="1"/>
  </cols>
  <sheetData>
    <row r="1" spans="1:3" ht="18">
      <c r="A1" s="184" t="s">
        <v>120</v>
      </c>
      <c r="B1" s="185"/>
      <c r="C1" s="186"/>
    </row>
    <row r="2" spans="1:3" ht="14.25">
      <c r="A2" s="20" t="s">
        <v>209</v>
      </c>
      <c r="B2" s="21"/>
      <c r="C2" s="22"/>
    </row>
    <row r="3" spans="1:3" ht="14.25">
      <c r="A3" s="23" t="s">
        <v>98</v>
      </c>
      <c r="B3" s="21"/>
      <c r="C3" s="22"/>
    </row>
    <row r="4" spans="1:3" ht="14.25">
      <c r="A4" s="23"/>
      <c r="B4" s="21"/>
      <c r="C4" s="22"/>
    </row>
    <row r="5" spans="1:3" ht="15">
      <c r="A5" s="75" t="s">
        <v>425</v>
      </c>
      <c r="B5" s="223">
        <f>'Ingreso de datos'!A429</f>
        <v>0</v>
      </c>
      <c r="C5" s="224"/>
    </row>
    <row r="6" spans="1:3" ht="15">
      <c r="A6" s="75" t="s">
        <v>38</v>
      </c>
      <c r="B6" s="223">
        <f>'Ingreso de datos'!A427</f>
        <v>0</v>
      </c>
      <c r="C6" s="224"/>
    </row>
    <row r="7" spans="1:3" ht="15">
      <c r="A7" s="75"/>
      <c r="B7" s="78"/>
      <c r="C7" s="79"/>
    </row>
    <row r="8" spans="1:3" ht="12.75">
      <c r="A8" s="80"/>
      <c r="B8" s="81" t="s">
        <v>41</v>
      </c>
      <c r="C8" s="81" t="s">
        <v>369</v>
      </c>
    </row>
    <row r="9" spans="1:3" ht="15.75">
      <c r="A9" s="76" t="s">
        <v>428</v>
      </c>
      <c r="B9" s="81">
        <f>IF(Numérico!B18="","",Numérico!D18*(4.5*12))</f>
      </c>
      <c r="C9" s="82">
        <f>IF(B9="","",IF(Numérico!B41="","",B9/Numérico!B41))</f>
      </c>
    </row>
    <row r="11" spans="1:3" ht="15.75">
      <c r="A11" s="76" t="s">
        <v>42</v>
      </c>
      <c r="B11" s="81">
        <f>Numérico!D23</f>
      </c>
      <c r="C11" s="83">
        <f>IF(B11="",""," 1 cada "&amp;INT(Numérico!$B$41/B11)&amp;" RN ")</f>
      </c>
    </row>
    <row r="12" ht="12.75">
      <c r="B12" s="84"/>
    </row>
    <row r="13" spans="1:3" ht="15.75">
      <c r="A13" s="76" t="s">
        <v>441</v>
      </c>
      <c r="B13" s="81">
        <f>Numérico!D29</f>
      </c>
      <c r="C13" s="83">
        <f>IF(B13="",""," 1 cada "&amp;INT(Numérico!$B$41/B13)&amp;" RN ")</f>
      </c>
    </row>
    <row r="16" spans="1:3" ht="12.75">
      <c r="A16" s="77" t="s">
        <v>43</v>
      </c>
      <c r="C16" s="83">
        <f>IF(Numérico!B53="","",IF(Numérico!B49="","",Numérico!B53*100/Numérico!B49))</f>
      </c>
    </row>
  </sheetData>
  <sheetProtection password="DF15" sheet="1" objects="1" scenarios="1"/>
  <mergeCells count="3">
    <mergeCell ref="A1:C1"/>
    <mergeCell ref="B5:C5"/>
    <mergeCell ref="B6:C6"/>
  </mergeCells>
  <printOptions horizontalCentered="1"/>
  <pageMargins left="0.75" right="0.75" top="1" bottom="1" header="0" footer="0"/>
  <pageSetup horizontalDpi="300" verticalDpi="300" orientation="portrait" paperSize="9" r:id="rId2"/>
  <legacyDrawing r:id="rId1"/>
</worksheet>
</file>

<file path=xl/worksheets/sheet8.xml><?xml version="1.0" encoding="utf-8"?>
<worksheet xmlns="http://schemas.openxmlformats.org/spreadsheetml/2006/main" xmlns:r="http://schemas.openxmlformats.org/officeDocument/2006/relationships">
  <sheetPr codeName="Hoja6"/>
  <dimension ref="A1:F102"/>
  <sheetViews>
    <sheetView showGridLines="0" showRowColHeaders="0" workbookViewId="0" topLeftCell="A12">
      <selection activeCell="A5" sqref="A5"/>
    </sheetView>
  </sheetViews>
  <sheetFormatPr defaultColWidth="11.421875" defaultRowHeight="12.75"/>
  <cols>
    <col min="1" max="1" width="28.7109375" style="108" customWidth="1"/>
    <col min="2" max="3" width="11.421875" style="108" customWidth="1"/>
    <col min="4" max="4" width="12.28125" style="108" customWidth="1"/>
    <col min="5" max="16384" width="11.421875" style="108" customWidth="1"/>
  </cols>
  <sheetData>
    <row r="1" spans="1:6" s="85" customFormat="1" ht="58.5" customHeight="1">
      <c r="A1" s="228" t="s">
        <v>121</v>
      </c>
      <c r="B1" s="229"/>
      <c r="C1" s="229"/>
      <c r="D1" s="229"/>
      <c r="E1" s="229"/>
      <c r="F1" s="230"/>
    </row>
    <row r="2" s="85" customFormat="1" ht="10.5" customHeight="1"/>
    <row r="3" spans="1:6" s="86" customFormat="1" ht="18" customHeight="1">
      <c r="A3" s="235" t="s">
        <v>215</v>
      </c>
      <c r="B3" s="236"/>
      <c r="C3" s="236"/>
      <c r="D3" s="237"/>
      <c r="E3" s="231"/>
      <c r="F3" s="231"/>
    </row>
    <row r="4" spans="1:6" s="86" customFormat="1" ht="16.5" customHeight="1">
      <c r="A4" s="232" t="s">
        <v>98</v>
      </c>
      <c r="B4" s="233"/>
      <c r="C4" s="233"/>
      <c r="D4" s="234"/>
      <c r="E4" s="231"/>
      <c r="F4" s="231"/>
    </row>
    <row r="5" ht="12.75"/>
    <row r="6" spans="1:6" s="87" customFormat="1" ht="12.75">
      <c r="A6" s="225" t="s">
        <v>37</v>
      </c>
      <c r="B6" s="226"/>
      <c r="C6" s="226"/>
      <c r="D6" s="226"/>
      <c r="E6" s="226"/>
      <c r="F6" s="227"/>
    </row>
    <row r="7" ht="12.75"/>
    <row r="8" spans="1:5" s="87" customFormat="1" ht="12.75">
      <c r="A8" s="88" t="s">
        <v>39</v>
      </c>
      <c r="B8" s="89">
        <f>Informe!C8</f>
        <v>0</v>
      </c>
      <c r="C8" s="90"/>
      <c r="D8" s="91" t="s">
        <v>371</v>
      </c>
      <c r="E8" s="92">
        <f>Informe!F7</f>
        <v>0</v>
      </c>
    </row>
    <row r="9" spans="1:3" s="86" customFormat="1" ht="12.75">
      <c r="A9" s="88" t="s">
        <v>370</v>
      </c>
      <c r="B9" s="93">
        <f>Informe!C9</f>
        <v>0</v>
      </c>
      <c r="C9" s="94"/>
    </row>
    <row r="10" spans="1:3" s="86" customFormat="1" ht="18" customHeight="1">
      <c r="A10" s="94"/>
      <c r="B10" s="95"/>
      <c r="C10" s="94"/>
    </row>
    <row r="11" spans="1:6" s="85" customFormat="1" ht="12.75">
      <c r="A11" s="96" t="s">
        <v>372</v>
      </c>
      <c r="B11" s="97">
        <f>Informe!C11</f>
        <v>0</v>
      </c>
      <c r="C11" s="98" t="s">
        <v>388</v>
      </c>
      <c r="D11" s="98" t="s">
        <v>176</v>
      </c>
      <c r="E11" s="98"/>
      <c r="F11" s="99"/>
    </row>
    <row r="12" spans="1:3" s="85" customFormat="1" ht="12.75">
      <c r="A12" s="100"/>
      <c r="B12" s="101"/>
      <c r="C12" s="100"/>
    </row>
    <row r="13" spans="1:3" s="85" customFormat="1" ht="12.75">
      <c r="A13" s="100"/>
      <c r="B13" s="101"/>
      <c r="C13" s="100"/>
    </row>
    <row r="14" spans="1:3" s="85" customFormat="1" ht="12.75">
      <c r="A14" s="100"/>
      <c r="B14" s="101"/>
      <c r="C14" s="100"/>
    </row>
    <row r="15" spans="1:3" s="85" customFormat="1" ht="12.75">
      <c r="A15" s="100"/>
      <c r="B15" s="101"/>
      <c r="C15" s="100"/>
    </row>
    <row r="16" spans="1:3" s="85" customFormat="1" ht="12.75">
      <c r="A16" s="100"/>
      <c r="B16" s="101"/>
      <c r="C16" s="100"/>
    </row>
    <row r="17" spans="1:3" s="85" customFormat="1" ht="12.75">
      <c r="A17" s="100"/>
      <c r="B17" s="100"/>
      <c r="C17" s="100"/>
    </row>
    <row r="18" spans="1:3" s="85" customFormat="1" ht="12.75">
      <c r="A18" s="100"/>
      <c r="B18" s="100"/>
      <c r="C18" s="100"/>
    </row>
    <row r="19" spans="1:3" s="85" customFormat="1" ht="12.75">
      <c r="A19" s="102"/>
      <c r="B19" s="103"/>
      <c r="C19" s="100"/>
    </row>
    <row r="20" spans="1:3" s="85" customFormat="1" ht="12.75">
      <c r="A20" s="100"/>
      <c r="B20" s="100"/>
      <c r="C20" s="100"/>
    </row>
    <row r="21" spans="1:3" s="85" customFormat="1" ht="12.75">
      <c r="A21" s="100"/>
      <c r="B21" s="100"/>
      <c r="C21" s="100"/>
    </row>
    <row r="22" spans="1:3" s="85" customFormat="1" ht="12.75">
      <c r="A22" s="100"/>
      <c r="B22" s="101"/>
      <c r="C22" s="100"/>
    </row>
    <row r="23" spans="1:3" s="85" customFormat="1" ht="12.75">
      <c r="A23" s="100"/>
      <c r="B23" s="100"/>
      <c r="C23" s="100"/>
    </row>
    <row r="24" spans="1:3" s="85" customFormat="1" ht="12.75">
      <c r="A24" s="100"/>
      <c r="B24" s="101"/>
      <c r="C24" s="100"/>
    </row>
    <row r="25" spans="1:3" s="85" customFormat="1" ht="12.75">
      <c r="A25" s="100"/>
      <c r="B25" s="100"/>
      <c r="C25" s="100"/>
    </row>
    <row r="26" spans="1:3" s="85" customFormat="1" ht="12.75">
      <c r="A26" s="100"/>
      <c r="B26" s="100"/>
      <c r="C26" s="100"/>
    </row>
    <row r="27" spans="1:3" s="85" customFormat="1" ht="12.75">
      <c r="A27" s="102"/>
      <c r="B27" s="103"/>
      <c r="C27" s="100"/>
    </row>
    <row r="28" spans="1:3" s="85" customFormat="1" ht="12.75">
      <c r="A28" s="100"/>
      <c r="B28" s="101"/>
      <c r="C28" s="100"/>
    </row>
    <row r="29" spans="1:3" s="85" customFormat="1" ht="12.75">
      <c r="A29" s="100"/>
      <c r="B29" s="101"/>
      <c r="C29" s="100"/>
    </row>
    <row r="30" spans="1:3" s="85" customFormat="1" ht="12.75">
      <c r="A30" s="100"/>
      <c r="B30" s="101"/>
      <c r="C30" s="100"/>
    </row>
    <row r="31" spans="1:3" s="85" customFormat="1" ht="12.75">
      <c r="A31" s="100"/>
      <c r="B31" s="100"/>
      <c r="C31" s="100"/>
    </row>
    <row r="32" spans="1:6" ht="12.75">
      <c r="A32" s="104" t="s">
        <v>380</v>
      </c>
      <c r="B32" s="105">
        <f>Informe!C22</f>
        <v>0</v>
      </c>
      <c r="C32" s="106" t="s">
        <v>388</v>
      </c>
      <c r="D32" s="106" t="s">
        <v>176</v>
      </c>
      <c r="E32" s="106"/>
      <c r="F32" s="107"/>
    </row>
    <row r="33" spans="1:3" s="85" customFormat="1" ht="12.75">
      <c r="A33" s="100"/>
      <c r="B33" s="101"/>
      <c r="C33" s="100"/>
    </row>
    <row r="34" spans="1:3" s="85" customFormat="1" ht="12.75">
      <c r="A34" s="109"/>
      <c r="B34" s="101"/>
      <c r="C34" s="100"/>
    </row>
    <row r="35" spans="1:3" s="85" customFormat="1" ht="12.75">
      <c r="A35" s="100"/>
      <c r="B35" s="101"/>
      <c r="C35" s="100"/>
    </row>
    <row r="36" spans="1:3" s="85" customFormat="1" ht="12.75">
      <c r="A36" s="100"/>
      <c r="B36" s="100"/>
      <c r="C36" s="100"/>
    </row>
    <row r="37" spans="1:3" s="85" customFormat="1" ht="12.75">
      <c r="A37" s="100"/>
      <c r="B37" s="100"/>
      <c r="C37" s="100"/>
    </row>
    <row r="38" spans="1:3" s="85" customFormat="1" ht="12.75">
      <c r="A38" s="100"/>
      <c r="B38" s="100"/>
      <c r="C38" s="100"/>
    </row>
    <row r="39" spans="1:3" s="85" customFormat="1" ht="12.75">
      <c r="A39" s="100"/>
      <c r="B39" s="100"/>
      <c r="C39" s="100"/>
    </row>
    <row r="40" spans="1:3" s="85" customFormat="1" ht="12.75">
      <c r="A40" s="100"/>
      <c r="B40" s="100"/>
      <c r="C40" s="100"/>
    </row>
    <row r="41" spans="1:3" s="85" customFormat="1" ht="12.75">
      <c r="A41" s="100"/>
      <c r="B41" s="100"/>
      <c r="C41" s="100"/>
    </row>
    <row r="42" spans="1:2" s="85" customFormat="1" ht="10.5" customHeight="1">
      <c r="A42" s="100"/>
      <c r="B42" s="100"/>
    </row>
    <row r="43" spans="1:2" s="85" customFormat="1" ht="3.75" customHeight="1" hidden="1">
      <c r="A43" s="100"/>
      <c r="B43" s="100"/>
    </row>
    <row r="44" spans="1:2" s="85" customFormat="1" ht="12.75" hidden="1">
      <c r="A44" s="100"/>
      <c r="B44" s="100"/>
    </row>
    <row r="45" spans="1:2" s="85" customFormat="1" ht="12.75" hidden="1">
      <c r="A45" s="100"/>
      <c r="B45" s="100"/>
    </row>
    <row r="46" spans="1:2" s="85" customFormat="1" ht="12.75" hidden="1">
      <c r="A46" s="100"/>
      <c r="B46" s="100"/>
    </row>
    <row r="47" spans="1:2" s="85" customFormat="1" ht="12.75" hidden="1">
      <c r="A47" s="100"/>
      <c r="B47" s="100"/>
    </row>
    <row r="48" spans="1:2" s="85" customFormat="1" ht="13.5" customHeight="1" hidden="1">
      <c r="A48" s="100"/>
      <c r="B48" s="100"/>
    </row>
    <row r="49" spans="1:2" s="85" customFormat="1" ht="9" customHeight="1" hidden="1">
      <c r="A49" s="100"/>
      <c r="B49" s="100"/>
    </row>
    <row r="50" spans="1:2" s="85" customFormat="1" ht="11.25" customHeight="1" hidden="1">
      <c r="A50" s="100"/>
      <c r="B50" s="100"/>
    </row>
    <row r="51" spans="1:2" s="85" customFormat="1" ht="12.75">
      <c r="A51" s="100"/>
      <c r="B51" s="100"/>
    </row>
    <row r="52" ht="12.75"/>
    <row r="53" spans="1:2" s="85" customFormat="1" ht="12.75">
      <c r="A53" s="100"/>
      <c r="B53" s="100"/>
    </row>
    <row r="54" spans="1:2" s="85" customFormat="1" ht="12.75">
      <c r="A54" s="100"/>
      <c r="B54" s="100"/>
    </row>
    <row r="55" spans="1:2" s="85" customFormat="1" ht="12.75">
      <c r="A55" s="100"/>
      <c r="B55" s="100"/>
    </row>
    <row r="56" spans="1:2" s="85" customFormat="1" ht="12.75">
      <c r="A56" s="100"/>
      <c r="B56" s="100"/>
    </row>
    <row r="57" ht="12.75"/>
    <row r="58" ht="12.75"/>
    <row r="59" ht="12.75"/>
    <row r="60" ht="93" customHeight="1"/>
    <row r="61" spans="1:6" ht="12.75">
      <c r="A61" s="104" t="s">
        <v>382</v>
      </c>
      <c r="B61" s="105">
        <f>Informe!C38</f>
        <v>0</v>
      </c>
      <c r="C61" s="106" t="s">
        <v>388</v>
      </c>
      <c r="D61" s="106" t="s">
        <v>176</v>
      </c>
      <c r="E61" s="106"/>
      <c r="F61" s="107"/>
    </row>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spans="1:6" ht="12.75">
      <c r="A81" s="96" t="str">
        <f>Informe!B30</f>
        <v>Recursos Humanos:</v>
      </c>
      <c r="B81" s="105">
        <f>Informe!C30</f>
        <v>0</v>
      </c>
      <c r="C81" s="106" t="s">
        <v>388</v>
      </c>
      <c r="D81" s="106" t="s">
        <v>176</v>
      </c>
      <c r="E81" s="106"/>
      <c r="F81" s="107"/>
    </row>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spans="1:6" ht="12.75">
      <c r="A102" s="104" t="s">
        <v>382</v>
      </c>
      <c r="B102" s="105">
        <f>Informe!C38</f>
        <v>0</v>
      </c>
      <c r="C102" s="106" t="s">
        <v>388</v>
      </c>
      <c r="D102" s="106" t="s">
        <v>176</v>
      </c>
      <c r="E102" s="106"/>
      <c r="F102" s="107"/>
    </row>
    <row r="104" ht="12.75"/>
    <row r="105" ht="12.75"/>
    <row r="106" ht="12.75"/>
    <row r="107" ht="12.75"/>
    <row r="108" ht="12.75"/>
    <row r="109" ht="12.75"/>
    <row r="110" ht="12.75"/>
    <row r="111" ht="12.75"/>
    <row r="112" ht="12.75"/>
    <row r="113" ht="12.75"/>
    <row r="114" ht="12.75"/>
    <row r="115" ht="12.75"/>
    <row r="116" ht="12.75"/>
    <row r="117" ht="12.75"/>
  </sheetData>
  <sheetProtection password="DF15" sheet="1" objects="1" scenarios="1"/>
  <mergeCells count="5">
    <mergeCell ref="A6:F6"/>
    <mergeCell ref="A1:F1"/>
    <mergeCell ref="E3:F4"/>
    <mergeCell ref="A4:D4"/>
    <mergeCell ref="A3:D3"/>
  </mergeCells>
  <printOptions horizontalCentered="1" verticalCentered="1"/>
  <pageMargins left="0.7874015748031497" right="0.7874015748031497" top="0.1968503937007874" bottom="0.1968503937007874" header="0" footer="0"/>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Organización desconocida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KAN</dc:title>
  <dc:subject/>
  <dc:creator>Diego Enriquez</dc:creator>
  <cp:keywords/>
  <dc:description/>
  <cp:lastModifiedBy>Neonatologia</cp:lastModifiedBy>
  <cp:lastPrinted>2005-04-03T23:14:50Z</cp:lastPrinted>
  <dcterms:created xsi:type="dcterms:W3CDTF">1999-11-18T11:45:05Z</dcterms:created>
  <dcterms:modified xsi:type="dcterms:W3CDTF">2006-02-14T15:24:53Z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